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nale5\webs\WEBDESIGN\IMAGENESOPT2\NuevaPlat2026\EXCEL\Inventarios\"/>
    </mc:Choice>
  </mc:AlternateContent>
  <xr:revisionPtr revIDLastSave="0" documentId="13_ncr:1_{6DD6FA3B-5C3D-4AB0-B898-BB848F9BCAC0}" xr6:coauthVersionLast="47" xr6:coauthVersionMax="47" xr10:uidLastSave="{00000000-0000-0000-0000-000000000000}"/>
  <bookViews>
    <workbookView xWindow="-120" yWindow="-120" windowWidth="20730" windowHeight="11760" xr2:uid="{A04A75D8-5928-4BEB-A65F-63E0ABA3F645}"/>
  </bookViews>
  <sheets>
    <sheet name="MULTI27" sheetId="1" r:id="rId1"/>
    <sheet name="Graficos" sheetId="3" r:id="rId2"/>
    <sheet name="Hoja2" sheetId="2" state="hidden" r:id="rId3"/>
  </sheets>
  <definedNames>
    <definedName name="alfa">MULTI27!$D$15</definedName>
    <definedName name="CAD">Hoja2!$H$3</definedName>
    <definedName name="CAL">Hoja2!$H$4</definedName>
    <definedName name="Calca">Hoja2!$M$3</definedName>
    <definedName name="Cesc">Hoja2!$M$4</definedName>
    <definedName name="CEX">Hoja2!$M$9</definedName>
    <definedName name="CEZ">Hoja2!$M$8</definedName>
    <definedName name="CMCA">Hoja2!$P$15</definedName>
    <definedName name="CME">Hoja2!$H$5</definedName>
    <definedName name="Co">Hoja2!$P$10</definedName>
    <definedName name="Costo">MULTI27!$D$7</definedName>
    <definedName name="costoFalta">MULTI27!#REF!</definedName>
    <definedName name="Cpe">Hoja2!$M$2</definedName>
    <definedName name="CT">Hoja2!$H$6</definedName>
    <definedName name="CTcan">Hoja2!$M$5</definedName>
    <definedName name="Cu">Hoja2!$P$9</definedName>
    <definedName name="Dem">MULTI27!$D$5</definedName>
    <definedName name="Durac">Hoja2!$K$9</definedName>
    <definedName name="entero">MULTI27!$D$12</definedName>
    <definedName name="erre">Hoja2!$H$9</definedName>
    <definedName name="ese">Hoja2!$H$15</definedName>
    <definedName name="espera">MULTI27!$D$18</definedName>
    <definedName name="Exist">MULTI27!$D$17</definedName>
    <definedName name="Faltante">Hoja2!$K$5</definedName>
    <definedName name="FRCR">Hoja2!$M$10</definedName>
    <definedName name="GananCan">Hoja2!$P$14</definedName>
    <definedName name="Hold">MULTI27!$D$11</definedName>
    <definedName name="Imax">Hoja2!$K$7</definedName>
    <definedName name="int">MULTI27!$D$10</definedName>
    <definedName name="Ka">MULTI27!$D$9</definedName>
    <definedName name="lado">Hoja2!$H$10</definedName>
    <definedName name="Lead">MULTI27!$D$8</definedName>
    <definedName name="modelo">MULTI27!$C$2</definedName>
    <definedName name="MostrarGrafCan">IF(Graficos!$K$3,GraficoCan,vacio)</definedName>
    <definedName name="mu">MULTI27!$D$13</definedName>
    <definedName name="muele">Hoja2!$H$13</definedName>
    <definedName name="Multa">MULTI27!$N$13</definedName>
    <definedName name="multaF">MULTI27!$C$18</definedName>
    <definedName name="mutemasele">Hoja2!$H$17</definedName>
    <definedName name="n">Hoja2!$H$7</definedName>
    <definedName name="newalfa">Hoja2!$P$11</definedName>
    <definedName name="Peve">MULTI27!$N$11</definedName>
    <definedName name="Prod">MULTI27!$D$6</definedName>
    <definedName name="Qmax">Hoja2!$H$12</definedName>
    <definedName name="Qop">Hoja2!$H$2</definedName>
    <definedName name="QopCan">Hoja2!$K$6</definedName>
    <definedName name="QoptCACA">Hoja2!$P$13</definedName>
    <definedName name="qperiodica">Hoja2!$K$14</definedName>
    <definedName name="Rescate">MULTI27!$C$17</definedName>
    <definedName name="Revision">MULTI27!$C$3</definedName>
    <definedName name="rsd">Graficos!$Y$4</definedName>
    <definedName name="sigma">MULTI27!$D$14</definedName>
    <definedName name="sigmaele">Hoja2!$H$14</definedName>
    <definedName name="sigmatemasele">Hoja2!$H$18</definedName>
    <definedName name="Smax">Hoja2!$K$8</definedName>
    <definedName name="sobrante">MULTI27!$N$12</definedName>
    <definedName name="Tde">Graficos!$AA$5</definedName>
    <definedName name="Te">MULTI27!$D$16</definedName>
    <definedName name="temasele">Hoja2!$H$16</definedName>
    <definedName name="TentrQ">Hoja2!$H$8</definedName>
    <definedName name="TpoNeg">Hoja2!$K$11</definedName>
    <definedName name="TpoPos">Hoja2!$K$10</definedName>
    <definedName name="tprod">Hoja2!$H$11</definedName>
    <definedName name="udet">MULTI27!$E$4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2" l="1"/>
  <c r="H121" i="1" s="1"/>
  <c r="P10" i="2"/>
  <c r="H122" i="1" s="1"/>
  <c r="P7" i="2"/>
  <c r="P8" i="2"/>
  <c r="P6" i="2"/>
  <c r="P5" i="2"/>
  <c r="P3" i="2"/>
  <c r="J16" i="2"/>
  <c r="J102" i="1"/>
  <c r="P11" i="2" l="1"/>
  <c r="H116" i="1" s="1"/>
  <c r="M12" i="1" l="1"/>
  <c r="P12" i="2"/>
  <c r="AJ4" i="3" l="1"/>
  <c r="AJ7" i="3"/>
  <c r="AJ10" i="3"/>
  <c r="AJ13" i="3"/>
  <c r="AJ16" i="3"/>
  <c r="AJ19" i="3"/>
  <c r="AI2" i="3"/>
  <c r="Y5" i="3"/>
  <c r="Y2" i="3"/>
  <c r="D11" i="1"/>
  <c r="N13" i="1"/>
  <c r="N12" i="1"/>
  <c r="N11" i="1"/>
  <c r="K25" i="1"/>
  <c r="L25" i="1" s="1"/>
  <c r="K26" i="1"/>
  <c r="L26" i="1" s="1"/>
  <c r="K27" i="1"/>
  <c r="M27" i="1" s="1"/>
  <c r="K28" i="1"/>
  <c r="M28" i="1" s="1"/>
  <c r="K29" i="1"/>
  <c r="L29" i="1" s="1"/>
  <c r="K30" i="1"/>
  <c r="L30" i="1" s="1"/>
  <c r="K31" i="1"/>
  <c r="M31" i="1" s="1"/>
  <c r="O21" i="2"/>
  <c r="Q21" i="2" s="1"/>
  <c r="N21" i="2"/>
  <c r="M22" i="2"/>
  <c r="L23" i="2" s="1"/>
  <c r="M23" i="2"/>
  <c r="L24" i="2" s="1"/>
  <c r="M24" i="2"/>
  <c r="L25" i="2" s="1"/>
  <c r="M25" i="2"/>
  <c r="L26" i="2" s="1"/>
  <c r="M26" i="2"/>
  <c r="L27" i="2" s="1"/>
  <c r="M27" i="2"/>
  <c r="L28" i="2" s="1"/>
  <c r="M28" i="2"/>
  <c r="L29" i="2" s="1"/>
  <c r="M29" i="2"/>
  <c r="L30" i="2" s="1"/>
  <c r="M30" i="2"/>
  <c r="M21" i="2"/>
  <c r="L22" i="2" s="1"/>
  <c r="E19" i="2"/>
  <c r="D26" i="1"/>
  <c r="E25" i="2" s="1"/>
  <c r="D27" i="1"/>
  <c r="E26" i="2" s="1"/>
  <c r="D28" i="1"/>
  <c r="E27" i="2" s="1"/>
  <c r="D29" i="1"/>
  <c r="E28" i="2" s="1"/>
  <c r="D30" i="1"/>
  <c r="E29" i="2" s="1"/>
  <c r="D31" i="1"/>
  <c r="E30" i="2" s="1"/>
  <c r="E31" i="2" s="1"/>
  <c r="D24" i="1"/>
  <c r="E23" i="2" s="1"/>
  <c r="D25" i="1"/>
  <c r="N18" i="1"/>
  <c r="N17" i="1"/>
  <c r="N16" i="1"/>
  <c r="M9" i="2"/>
  <c r="K3" i="2"/>
  <c r="K2" i="2"/>
  <c r="D16" i="1"/>
  <c r="H16" i="2" s="1"/>
  <c r="H18" i="2" s="1"/>
  <c r="E17" i="2"/>
  <c r="E16" i="2"/>
  <c r="H14" i="2"/>
  <c r="H15" i="2" s="1"/>
  <c r="H109" i="1" s="1"/>
  <c r="E9" i="2"/>
  <c r="E8" i="2"/>
  <c r="E7" i="2"/>
  <c r="E5" i="2"/>
  <c r="E4" i="2"/>
  <c r="E6" i="2"/>
  <c r="M21" i="1"/>
  <c r="L21" i="1"/>
  <c r="K21" i="1"/>
  <c r="K4" i="2" l="1"/>
  <c r="P4" i="2"/>
  <c r="AL18" i="3"/>
  <c r="AL14" i="3"/>
  <c r="AL10" i="3"/>
  <c r="AL6" i="3"/>
  <c r="AL2" i="3"/>
  <c r="AL17" i="3"/>
  <c r="AL13" i="3"/>
  <c r="AL9" i="3"/>
  <c r="AL5" i="3"/>
  <c r="AL19" i="3"/>
  <c r="AL15" i="3"/>
  <c r="AL11" i="3"/>
  <c r="AL7" i="3"/>
  <c r="AL3" i="3"/>
  <c r="AL20" i="3"/>
  <c r="AL16" i="3"/>
  <c r="AL12" i="3"/>
  <c r="AL8" i="3"/>
  <c r="AL4" i="3"/>
  <c r="E15" i="2"/>
  <c r="T21" i="2"/>
  <c r="L28" i="1"/>
  <c r="M30" i="1"/>
  <c r="M26" i="1"/>
  <c r="L31" i="1"/>
  <c r="L27" i="1"/>
  <c r="M29" i="1"/>
  <c r="M25" i="1"/>
  <c r="E24" i="2"/>
  <c r="D29" i="2"/>
  <c r="D25" i="2"/>
  <c r="D31" i="2"/>
  <c r="D27" i="2"/>
  <c r="D30" i="2"/>
  <c r="D26" i="2"/>
  <c r="D28" i="2"/>
  <c r="C22" i="2"/>
  <c r="N22" i="2" s="1"/>
  <c r="C23" i="2"/>
  <c r="C24" i="2"/>
  <c r="N24" i="2" s="1"/>
  <c r="C25" i="2"/>
  <c r="N25" i="2" s="1"/>
  <c r="C26" i="2"/>
  <c r="N26" i="2" s="1"/>
  <c r="C27" i="2"/>
  <c r="N27" i="2" s="1"/>
  <c r="C28" i="2"/>
  <c r="N28" i="2" s="1"/>
  <c r="C29" i="2"/>
  <c r="N29" i="2" s="1"/>
  <c r="C30" i="2"/>
  <c r="N30" i="2" s="1"/>
  <c r="O30" i="2" s="1"/>
  <c r="C31" i="2"/>
  <c r="C21" i="2"/>
  <c r="E11" i="2"/>
  <c r="E13" i="2"/>
  <c r="E14" i="2"/>
  <c r="C3" i="2"/>
  <c r="D23" i="1"/>
  <c r="E22" i="2" s="1"/>
  <c r="E22" i="1"/>
  <c r="D22" i="1"/>
  <c r="E21" i="2" s="1"/>
  <c r="D21" i="2" s="1"/>
  <c r="E4" i="1"/>
  <c r="C2" i="1"/>
  <c r="D22" i="2" l="1"/>
  <c r="I119" i="1"/>
  <c r="F103" i="1"/>
  <c r="I120" i="1"/>
  <c r="I117" i="1"/>
  <c r="I104" i="1"/>
  <c r="I118" i="1"/>
  <c r="J116" i="1"/>
  <c r="J107" i="1"/>
  <c r="J106" i="1"/>
  <c r="F101" i="1"/>
  <c r="J108" i="1"/>
  <c r="I107" i="1"/>
  <c r="J101" i="1"/>
  <c r="F107" i="1"/>
  <c r="G107" i="1" s="1"/>
  <c r="G101" i="1"/>
  <c r="I108" i="1"/>
  <c r="F106" i="1"/>
  <c r="Z1" i="3"/>
  <c r="B12" i="1"/>
  <c r="K2" i="1"/>
  <c r="D23" i="2"/>
  <c r="N23" i="2"/>
  <c r="O23" i="2" s="1"/>
  <c r="O22" i="2"/>
  <c r="Q22" i="2" s="1"/>
  <c r="P22" i="2" s="1"/>
  <c r="P21" i="2"/>
  <c r="R21" i="2" s="1"/>
  <c r="U21" i="2" s="1"/>
  <c r="C3" i="1"/>
  <c r="Q30" i="2"/>
  <c r="P30" i="2" s="1"/>
  <c r="D13" i="1"/>
  <c r="E10" i="2"/>
  <c r="F25" i="2"/>
  <c r="F22" i="2"/>
  <c r="F26" i="2"/>
  <c r="G26" i="2" s="1"/>
  <c r="F30" i="2"/>
  <c r="F28" i="2"/>
  <c r="F21" i="2"/>
  <c r="F23" i="2"/>
  <c r="F27" i="2"/>
  <c r="F31" i="2"/>
  <c r="F24" i="2"/>
  <c r="F29" i="2"/>
  <c r="H2" i="2"/>
  <c r="K5" i="1" s="1"/>
  <c r="C1" i="2"/>
  <c r="E8" i="1"/>
  <c r="E10" i="1"/>
  <c r="E5" i="1"/>
  <c r="E6" i="1"/>
  <c r="Q2" i="1" l="1"/>
  <c r="P2" i="2"/>
  <c r="P13" i="2"/>
  <c r="M11" i="1" s="1"/>
  <c r="J123" i="1"/>
  <c r="J109" i="1"/>
  <c r="J110" i="1"/>
  <c r="D24" i="2"/>
  <c r="G23" i="2"/>
  <c r="J115" i="1"/>
  <c r="J114" i="1"/>
  <c r="J113" i="1"/>
  <c r="J112" i="1"/>
  <c r="J111" i="1"/>
  <c r="J103" i="1"/>
  <c r="J122" i="1"/>
  <c r="J120" i="1"/>
  <c r="J117" i="1"/>
  <c r="H112" i="1"/>
  <c r="J104" i="1"/>
  <c r="J100" i="1"/>
  <c r="F112" i="1"/>
  <c r="F111" i="1"/>
  <c r="F110" i="1"/>
  <c r="G110" i="1" s="1"/>
  <c r="J118" i="1"/>
  <c r="G112" i="1"/>
  <c r="G111" i="1"/>
  <c r="J121" i="1"/>
  <c r="J105" i="1"/>
  <c r="AP10" i="3"/>
  <c r="AQ1" i="3"/>
  <c r="AP4" i="3"/>
  <c r="AP16" i="3"/>
  <c r="AO2" i="3"/>
  <c r="AR3" i="3"/>
  <c r="AR2" i="3"/>
  <c r="L5" i="1"/>
  <c r="M5" i="1"/>
  <c r="R3" i="1"/>
  <c r="Q3" i="1"/>
  <c r="Q12" i="1"/>
  <c r="Q11" i="1" s="1"/>
  <c r="Q10" i="1" s="1"/>
  <c r="Q9" i="1" s="1"/>
  <c r="Q8" i="1" s="1"/>
  <c r="Q7" i="1" s="1"/>
  <c r="Q6" i="1" s="1"/>
  <c r="Q5" i="1" s="1"/>
  <c r="Q4" i="1" s="1"/>
  <c r="K22" i="1"/>
  <c r="L22" i="1" s="1"/>
  <c r="AD22" i="3"/>
  <c r="AE23" i="3"/>
  <c r="AE27" i="3"/>
  <c r="AE25" i="3"/>
  <c r="AD24" i="3"/>
  <c r="AA1" i="3"/>
  <c r="AR4" i="3"/>
  <c r="AR8" i="3"/>
  <c r="AR12" i="3"/>
  <c r="AR16" i="3"/>
  <c r="AR20" i="3"/>
  <c r="AR7" i="3"/>
  <c r="AR19" i="3"/>
  <c r="AR5" i="3"/>
  <c r="AR9" i="3"/>
  <c r="AR13" i="3"/>
  <c r="AR17" i="3"/>
  <c r="AR15" i="3"/>
  <c r="AR6" i="3"/>
  <c r="AR10" i="3"/>
  <c r="AR14" i="3"/>
  <c r="AR18" i="3"/>
  <c r="AR11" i="3"/>
  <c r="AP1" i="3"/>
  <c r="AE20" i="3"/>
  <c r="AJ20" i="3" s="1"/>
  <c r="AP20" i="3" s="1"/>
  <c r="AE14" i="3"/>
  <c r="AJ14" i="3" s="1"/>
  <c r="AP14" i="3" s="1"/>
  <c r="AE8" i="3"/>
  <c r="AJ8" i="3" s="1"/>
  <c r="AP8" i="3" s="1"/>
  <c r="AE2" i="3"/>
  <c r="AJ2" i="3" s="1"/>
  <c r="AP2" i="3" s="1"/>
  <c r="AE11" i="3"/>
  <c r="AJ11" i="3" s="1"/>
  <c r="AE5" i="3"/>
  <c r="AJ5" i="3" s="1"/>
  <c r="AE17" i="3"/>
  <c r="AJ17" i="3" s="1"/>
  <c r="AC11" i="3"/>
  <c r="AC20" i="3"/>
  <c r="AC14" i="3"/>
  <c r="AC17" i="3"/>
  <c r="AC16" i="3"/>
  <c r="AC18" i="3"/>
  <c r="AC19" i="3"/>
  <c r="AC13" i="3"/>
  <c r="AC12" i="3"/>
  <c r="AC15" i="3"/>
  <c r="P3" i="3"/>
  <c r="B16" i="1"/>
  <c r="B17" i="1"/>
  <c r="H17" i="2"/>
  <c r="H13" i="2"/>
  <c r="H12" i="2"/>
  <c r="H101" i="1" s="1"/>
  <c r="H7" i="2"/>
  <c r="H11" i="2"/>
  <c r="H3" i="2"/>
  <c r="H117" i="1" s="1"/>
  <c r="H8" i="2"/>
  <c r="H9" i="2"/>
  <c r="H4" i="2"/>
  <c r="K10" i="1"/>
  <c r="B18" i="1"/>
  <c r="E16" i="1"/>
  <c r="E17" i="1"/>
  <c r="E18" i="1"/>
  <c r="O24" i="2"/>
  <c r="Q23" i="2"/>
  <c r="P23" i="2" s="1"/>
  <c r="K24" i="1" s="1"/>
  <c r="E13" i="1"/>
  <c r="K23" i="1"/>
  <c r="R22" i="2"/>
  <c r="S22" i="2" s="1"/>
  <c r="U22" i="2" s="1"/>
  <c r="S21" i="2"/>
  <c r="E12" i="2"/>
  <c r="G28" i="2"/>
  <c r="H28" i="2" s="1"/>
  <c r="G30" i="2"/>
  <c r="G27" i="2"/>
  <c r="H27" i="2" s="1"/>
  <c r="G29" i="2"/>
  <c r="G22" i="2"/>
  <c r="H22" i="2" s="1"/>
  <c r="F2" i="1"/>
  <c r="G21" i="2"/>
  <c r="H21" i="2" s="1"/>
  <c r="H26" i="2"/>
  <c r="C2" i="2"/>
  <c r="K14" i="2" l="1"/>
  <c r="H113" i="1" s="1"/>
  <c r="R6" i="1"/>
  <c r="R10" i="1"/>
  <c r="R7" i="1"/>
  <c r="R11" i="1"/>
  <c r="R12" i="1"/>
  <c r="R8" i="1"/>
  <c r="R4" i="1"/>
  <c r="R5" i="1"/>
  <c r="R9" i="1"/>
  <c r="K6" i="2"/>
  <c r="K9" i="2"/>
  <c r="P14" i="2"/>
  <c r="H123" i="1" s="1"/>
  <c r="H100" i="1"/>
  <c r="H5" i="2"/>
  <c r="H6" i="2" s="1"/>
  <c r="M2" i="2"/>
  <c r="P15" i="2"/>
  <c r="H111" i="1"/>
  <c r="J98" i="1"/>
  <c r="H105" i="1"/>
  <c r="H103" i="1"/>
  <c r="H104" i="1"/>
  <c r="H118" i="1"/>
  <c r="AF3" i="3"/>
  <c r="H107" i="1"/>
  <c r="H102" i="1"/>
  <c r="H108" i="1"/>
  <c r="H110" i="1"/>
  <c r="AR1" i="3"/>
  <c r="AS1" i="3"/>
  <c r="Q13" i="1"/>
  <c r="AM3" i="3"/>
  <c r="AS3" i="3" s="1"/>
  <c r="AM9" i="3"/>
  <c r="AS9" i="3" s="1"/>
  <c r="AM16" i="3"/>
  <c r="AS16" i="3" s="1"/>
  <c r="AM6" i="3"/>
  <c r="AS6" i="3" s="1"/>
  <c r="AM11" i="3"/>
  <c r="AS11" i="3" s="1"/>
  <c r="AM8" i="3"/>
  <c r="AS8" i="3" s="1"/>
  <c r="AM14" i="3"/>
  <c r="AS14" i="3" s="1"/>
  <c r="AM13" i="3"/>
  <c r="AS13" i="3" s="1"/>
  <c r="AM20" i="3"/>
  <c r="AS20" i="3" s="1"/>
  <c r="AM4" i="3"/>
  <c r="AS4" i="3" s="1"/>
  <c r="AM10" i="3"/>
  <c r="AS10" i="3" s="1"/>
  <c r="AM15" i="3"/>
  <c r="AS15" i="3" s="1"/>
  <c r="AM2" i="3"/>
  <c r="AS2" i="3" s="1"/>
  <c r="AM5" i="3"/>
  <c r="AS5" i="3" s="1"/>
  <c r="AM12" i="3"/>
  <c r="AS12" i="3" s="1"/>
  <c r="AM18" i="3"/>
  <c r="AS18" i="3" s="1"/>
  <c r="AM7" i="3"/>
  <c r="AS7" i="3" s="1"/>
  <c r="AM17" i="3"/>
  <c r="AS17" i="3" s="1"/>
  <c r="AM19" i="3"/>
  <c r="AS19" i="3" s="1"/>
  <c r="AH3" i="3"/>
  <c r="AK3" i="3" s="1"/>
  <c r="AQ3" i="3" s="1"/>
  <c r="AH7" i="3"/>
  <c r="AK7" i="3" s="1"/>
  <c r="AQ7" i="3" s="1"/>
  <c r="AH11" i="3"/>
  <c r="AK11" i="3" s="1"/>
  <c r="AQ11" i="3" s="1"/>
  <c r="AH15" i="3"/>
  <c r="AK15" i="3" s="1"/>
  <c r="AQ15" i="3" s="1"/>
  <c r="AH19" i="3"/>
  <c r="AK19" i="3" s="1"/>
  <c r="AQ19" i="3" s="1"/>
  <c r="AH14" i="3"/>
  <c r="AK14" i="3" s="1"/>
  <c r="AQ14" i="3" s="1"/>
  <c r="AH4" i="3"/>
  <c r="AK4" i="3" s="1"/>
  <c r="AQ4" i="3" s="1"/>
  <c r="AH8" i="3"/>
  <c r="AK8" i="3" s="1"/>
  <c r="AQ8" i="3" s="1"/>
  <c r="AH12" i="3"/>
  <c r="AK12" i="3" s="1"/>
  <c r="AQ12" i="3" s="1"/>
  <c r="AH16" i="3"/>
  <c r="AK16" i="3" s="1"/>
  <c r="AQ16" i="3" s="1"/>
  <c r="AH20" i="3"/>
  <c r="AK20" i="3" s="1"/>
  <c r="AQ20" i="3" s="1"/>
  <c r="AH10" i="3"/>
  <c r="AK10" i="3" s="1"/>
  <c r="AQ10" i="3" s="1"/>
  <c r="AH18" i="3"/>
  <c r="AK18" i="3" s="1"/>
  <c r="AQ18" i="3" s="1"/>
  <c r="AH5" i="3"/>
  <c r="AK5" i="3" s="1"/>
  <c r="AQ5" i="3" s="1"/>
  <c r="AH9" i="3"/>
  <c r="AK9" i="3" s="1"/>
  <c r="AQ9" i="3" s="1"/>
  <c r="AH13" i="3"/>
  <c r="AK13" i="3" s="1"/>
  <c r="AQ13" i="3" s="1"/>
  <c r="AH17" i="3"/>
  <c r="AK17" i="3" s="1"/>
  <c r="AQ17" i="3" s="1"/>
  <c r="AH2" i="3"/>
  <c r="AK2" i="3" s="1"/>
  <c r="AQ2" i="3" s="1"/>
  <c r="AH6" i="3"/>
  <c r="AK6" i="3" s="1"/>
  <c r="AQ6" i="3" s="1"/>
  <c r="AG17" i="3"/>
  <c r="AP17" i="3" s="1"/>
  <c r="AG9" i="3"/>
  <c r="AG7" i="3"/>
  <c r="AP7" i="3" s="1"/>
  <c r="AG15" i="3"/>
  <c r="AG5" i="3"/>
  <c r="AP5" i="3" s="1"/>
  <c r="AG11" i="3"/>
  <c r="AP11" i="3" s="1"/>
  <c r="AG13" i="3"/>
  <c r="AP13" i="3" s="1"/>
  <c r="AG3" i="3"/>
  <c r="AG19" i="3"/>
  <c r="AP19" i="3" s="1"/>
  <c r="AE15" i="3"/>
  <c r="AJ15" i="3" s="1"/>
  <c r="AE9" i="3"/>
  <c r="AJ9" i="3" s="1"/>
  <c r="AE3" i="3"/>
  <c r="AJ3" i="3" s="1"/>
  <c r="AE18" i="3"/>
  <c r="AJ18" i="3" s="1"/>
  <c r="AP18" i="3" s="1"/>
  <c r="AE12" i="3"/>
  <c r="AJ12" i="3" s="1"/>
  <c r="AP12" i="3" s="1"/>
  <c r="AE6" i="3"/>
  <c r="AJ6" i="3" s="1"/>
  <c r="AP6" i="3" s="1"/>
  <c r="Y3" i="3"/>
  <c r="AD5" i="3"/>
  <c r="Y6" i="3"/>
  <c r="T17" i="3"/>
  <c r="T21" i="3"/>
  <c r="T4" i="3"/>
  <c r="T8" i="3"/>
  <c r="T12" i="3"/>
  <c r="T20" i="3"/>
  <c r="T7" i="3"/>
  <c r="T18" i="3"/>
  <c r="T22" i="3"/>
  <c r="T5" i="3"/>
  <c r="T9" i="3"/>
  <c r="T13" i="3"/>
  <c r="T16" i="3"/>
  <c r="T3" i="3"/>
  <c r="T11" i="3"/>
  <c r="T15" i="3"/>
  <c r="T19" i="3"/>
  <c r="T2" i="3"/>
  <c r="T6" i="3"/>
  <c r="T10" i="3"/>
  <c r="T14" i="3"/>
  <c r="O25" i="2"/>
  <c r="Q24" i="2"/>
  <c r="P24" i="2" s="1"/>
  <c r="H10" i="2"/>
  <c r="G106" i="1" s="1"/>
  <c r="R23" i="2"/>
  <c r="V21" i="2"/>
  <c r="M22" i="1" s="1"/>
  <c r="L23" i="1"/>
  <c r="T22" i="2"/>
  <c r="H29" i="2"/>
  <c r="G31" i="2"/>
  <c r="H31" i="2" s="1"/>
  <c r="H30" i="2"/>
  <c r="G24" i="2"/>
  <c r="Q14" i="1" l="1"/>
  <c r="R13" i="1"/>
  <c r="H119" i="1"/>
  <c r="L24" i="1"/>
  <c r="H114" i="1"/>
  <c r="H120" i="1"/>
  <c r="AP9" i="3"/>
  <c r="AP3" i="3"/>
  <c r="AP15" i="3"/>
  <c r="AD8" i="3"/>
  <c r="AI8" i="3" s="1"/>
  <c r="AI5" i="3"/>
  <c r="V15" i="3"/>
  <c r="U15" i="3"/>
  <c r="V13" i="3"/>
  <c r="U13" i="3"/>
  <c r="V18" i="3"/>
  <c r="U18" i="3"/>
  <c r="V8" i="3"/>
  <c r="U8" i="3"/>
  <c r="V6" i="3"/>
  <c r="U6" i="3"/>
  <c r="V11" i="3"/>
  <c r="U11" i="3"/>
  <c r="V9" i="3"/>
  <c r="U9" i="3"/>
  <c r="V7" i="3"/>
  <c r="Y4" i="3" s="1"/>
  <c r="U7" i="3"/>
  <c r="V4" i="3"/>
  <c r="U4" i="3"/>
  <c r="V2" i="3"/>
  <c r="U2" i="3"/>
  <c r="V3" i="3"/>
  <c r="U3" i="3"/>
  <c r="V5" i="3"/>
  <c r="U5" i="3"/>
  <c r="V20" i="3"/>
  <c r="U20" i="3"/>
  <c r="V21" i="3"/>
  <c r="U21" i="3"/>
  <c r="V10" i="3"/>
  <c r="U10" i="3"/>
  <c r="V14" i="3"/>
  <c r="U14" i="3"/>
  <c r="V19" i="3"/>
  <c r="U19" i="3"/>
  <c r="V16" i="3"/>
  <c r="U16" i="3"/>
  <c r="V22" i="3"/>
  <c r="U22" i="3"/>
  <c r="V12" i="3"/>
  <c r="U12" i="3"/>
  <c r="V17" i="3"/>
  <c r="U17" i="3"/>
  <c r="R24" i="2"/>
  <c r="S24" i="2" s="1"/>
  <c r="U24" i="2" s="1"/>
  <c r="O26" i="2"/>
  <c r="Q25" i="2"/>
  <c r="P25" i="2" s="1"/>
  <c r="S23" i="2"/>
  <c r="V22" i="2"/>
  <c r="M23" i="1" s="1"/>
  <c r="M7" i="1"/>
  <c r="M8" i="1"/>
  <c r="L8" i="1"/>
  <c r="L7" i="1"/>
  <c r="H23" i="2"/>
  <c r="G25" i="2"/>
  <c r="R14" i="1" l="1"/>
  <c r="Q15" i="1"/>
  <c r="T23" i="2"/>
  <c r="U23" i="2"/>
  <c r="AD11" i="3"/>
  <c r="AI11" i="3" s="1"/>
  <c r="W6" i="3"/>
  <c r="W15" i="3"/>
  <c r="W7" i="3"/>
  <c r="W11" i="3"/>
  <c r="W8" i="3"/>
  <c r="W13" i="3"/>
  <c r="W12" i="3"/>
  <c r="W16" i="3"/>
  <c r="W14" i="3"/>
  <c r="W21" i="3"/>
  <c r="W5" i="3"/>
  <c r="W2" i="3"/>
  <c r="W18" i="3"/>
  <c r="W17" i="3"/>
  <c r="W22" i="3"/>
  <c r="W19" i="3"/>
  <c r="W10" i="3"/>
  <c r="W20" i="3"/>
  <c r="W3" i="3"/>
  <c r="W4" i="3"/>
  <c r="W9" i="3"/>
  <c r="R25" i="2"/>
  <c r="S25" i="2" s="1"/>
  <c r="U25" i="2" s="1"/>
  <c r="O27" i="2"/>
  <c r="Q26" i="2"/>
  <c r="P26" i="2" s="1"/>
  <c r="V24" i="2"/>
  <c r="T24" i="2"/>
  <c r="L9" i="1"/>
  <c r="M9" i="1"/>
  <c r="H25" i="2"/>
  <c r="H24" i="2"/>
  <c r="V23" i="2" l="1"/>
  <c r="H115" i="1" s="1"/>
  <c r="F3" i="1" s="1" a="1"/>
  <c r="R15" i="1"/>
  <c r="Q16" i="1"/>
  <c r="X4" i="3"/>
  <c r="X8" i="3"/>
  <c r="X12" i="3"/>
  <c r="X16" i="3"/>
  <c r="X20" i="3"/>
  <c r="X5" i="3"/>
  <c r="X9" i="3"/>
  <c r="X13" i="3"/>
  <c r="X17" i="3"/>
  <c r="X21" i="3"/>
  <c r="X6" i="3"/>
  <c r="X10" i="3"/>
  <c r="X14" i="3"/>
  <c r="X18" i="3"/>
  <c r="X22" i="3"/>
  <c r="X3" i="3"/>
  <c r="X7" i="3"/>
  <c r="X11" i="3"/>
  <c r="X15" i="3"/>
  <c r="X19" i="3"/>
  <c r="X2" i="3"/>
  <c r="AD14" i="3"/>
  <c r="AI14" i="3" s="1"/>
  <c r="R26" i="2"/>
  <c r="S26" i="2" s="1"/>
  <c r="U26" i="2" s="1"/>
  <c r="O28" i="2"/>
  <c r="Q27" i="2"/>
  <c r="P27" i="2" s="1"/>
  <c r="M24" i="1"/>
  <c r="V25" i="2"/>
  <c r="T25" i="2"/>
  <c r="N9" i="1"/>
  <c r="N5" i="1" s="1"/>
  <c r="I21" i="2"/>
  <c r="F3" i="1" l="1"/>
  <c r="R16" i="1"/>
  <c r="Q17" i="1"/>
  <c r="AD17" i="3"/>
  <c r="AI17" i="3" s="1"/>
  <c r="R27" i="2"/>
  <c r="S27" i="2" s="1"/>
  <c r="U27" i="2" s="1"/>
  <c r="O29" i="2"/>
  <c r="Q29" i="2" s="1"/>
  <c r="P29" i="2" s="1"/>
  <c r="Q28" i="2"/>
  <c r="P28" i="2" s="1"/>
  <c r="V26" i="2"/>
  <c r="T26" i="2"/>
  <c r="J21" i="2"/>
  <c r="R17" i="1" l="1"/>
  <c r="Q18" i="1"/>
  <c r="R28" i="2"/>
  <c r="S28" i="2" s="1"/>
  <c r="U28" i="2" s="1"/>
  <c r="T27" i="2"/>
  <c r="V27" i="2"/>
  <c r="R18" i="1" l="1"/>
  <c r="Q19" i="1"/>
  <c r="AA5" i="3"/>
  <c r="R29" i="2"/>
  <c r="R30" i="2" s="1"/>
  <c r="S30" i="2" s="1"/>
  <c r="U30" i="2" s="1"/>
  <c r="V28" i="2"/>
  <c r="T28" i="2"/>
  <c r="R19" i="1" l="1"/>
  <c r="Q20" i="1"/>
  <c r="AF4" i="3"/>
  <c r="AD3" i="3"/>
  <c r="AD4" i="3"/>
  <c r="AI4" i="3" s="1"/>
  <c r="S29" i="2"/>
  <c r="V30" i="2"/>
  <c r="T30" i="2"/>
  <c r="R20" i="1" l="1"/>
  <c r="Q21" i="1"/>
  <c r="T29" i="2"/>
  <c r="U29" i="2"/>
  <c r="AD7" i="3"/>
  <c r="AD10" i="3" s="1"/>
  <c r="AD9" i="3"/>
  <c r="AI9" i="3" s="1"/>
  <c r="AD18" i="3"/>
  <c r="AI18" i="3" s="1"/>
  <c r="AD12" i="3"/>
  <c r="AI12" i="3" s="1"/>
  <c r="AD15" i="3"/>
  <c r="AI15" i="3" s="1"/>
  <c r="AI3" i="3"/>
  <c r="AO3" i="3" s="1"/>
  <c r="AD6" i="3"/>
  <c r="AI6" i="3" s="1"/>
  <c r="AF5" i="3"/>
  <c r="AO4" i="3"/>
  <c r="V29" i="2"/>
  <c r="P18" i="2" s="1"/>
  <c r="R18" i="2" s="1"/>
  <c r="R21" i="1" l="1"/>
  <c r="Q22" i="1"/>
  <c r="R22" i="1" s="1"/>
  <c r="AI7" i="3"/>
  <c r="W21" i="2"/>
  <c r="Y21" i="2" s="1"/>
  <c r="O22" i="1" s="1"/>
  <c r="O23" i="1" s="1"/>
  <c r="AD13" i="3"/>
  <c r="AI10" i="3"/>
  <c r="AF6" i="3"/>
  <c r="AO5" i="3"/>
  <c r="O21" i="1" l="1"/>
  <c r="X21" i="2"/>
  <c r="K20" i="1" s="1"/>
  <c r="AF7" i="3"/>
  <c r="AO6" i="3"/>
  <c r="AD16" i="3"/>
  <c r="AI13" i="3"/>
  <c r="AD19" i="3" l="1"/>
  <c r="AI16" i="3"/>
  <c r="AF8" i="3"/>
  <c r="AO7" i="3"/>
  <c r="AI19" i="3" l="1"/>
  <c r="AD20" i="3"/>
  <c r="AI20" i="3" s="1"/>
  <c r="AO8" i="3"/>
  <c r="AF9" i="3"/>
  <c r="AO9" i="3" l="1"/>
  <c r="AF10" i="3"/>
  <c r="AF11" i="3" l="1"/>
  <c r="AO10" i="3"/>
  <c r="AF12" i="3" l="1"/>
  <c r="AO11" i="3"/>
  <c r="AO12" i="3" l="1"/>
  <c r="AF13" i="3"/>
  <c r="AO13" i="3" l="1"/>
  <c r="AF14" i="3"/>
  <c r="AO14" i="3" l="1"/>
  <c r="AF15" i="3"/>
  <c r="AF16" i="3" l="1"/>
  <c r="AO15" i="3"/>
  <c r="AF17" i="3" l="1"/>
  <c r="AO16" i="3"/>
  <c r="AF18" i="3" l="1"/>
  <c r="AO17" i="3"/>
  <c r="AF19" i="3" l="1"/>
  <c r="AO18" i="3"/>
  <c r="AF20" i="3" l="1"/>
  <c r="AO20" i="3" s="1"/>
  <c r="AO19" i="3"/>
  <c r="M8" i="2" l="1"/>
  <c r="K5" i="2"/>
  <c r="K8" i="2" l="1"/>
  <c r="K7" i="2"/>
  <c r="M10" i="2"/>
  <c r="M11" i="2" l="1"/>
  <c r="AE24" i="3" l="1"/>
  <c r="AD27" i="3"/>
  <c r="AD28" i="3" s="1"/>
  <c r="M15" i="1"/>
  <c r="AE26" i="3" l="1"/>
  <c r="AE29" i="3" s="1"/>
  <c r="M3" i="2"/>
  <c r="M14" i="1"/>
  <c r="K11" i="2"/>
  <c r="AD25" i="3" s="1"/>
  <c r="AE28" i="3"/>
  <c r="L100" i="1" a="1"/>
  <c r="M16" i="1"/>
  <c r="M4" i="2"/>
  <c r="K10" i="2"/>
  <c r="AD26" i="3" s="1"/>
  <c r="M13" i="1"/>
  <c r="L100" i="1" l="1"/>
  <c r="L98" i="1" s="1"/>
  <c r="AD29" i="3"/>
  <c r="M17" i="1"/>
  <c r="M18" i="1"/>
  <c r="M5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<sst xmlns="http://schemas.openxmlformats.org/spreadsheetml/2006/main" count="276" uniqueCount="210">
  <si>
    <t>SECTOR DATOS</t>
  </si>
  <si>
    <t>Modelo</t>
  </si>
  <si>
    <t>Tipo Revisión</t>
  </si>
  <si>
    <t>U tiempo</t>
  </si>
  <si>
    <t>Demanda</t>
  </si>
  <si>
    <t>Tasa Prod</t>
  </si>
  <si>
    <t>Costo Unit</t>
  </si>
  <si>
    <t>Lead time</t>
  </si>
  <si>
    <t>Costo adm</t>
  </si>
  <si>
    <t>tasa transf</t>
  </si>
  <si>
    <t>lote mínimo</t>
  </si>
  <si>
    <t>Dem. media</t>
  </si>
  <si>
    <t>Desv est dem</t>
  </si>
  <si>
    <t>nivel serv</t>
  </si>
  <si>
    <t>Período rev</t>
  </si>
  <si>
    <t>Nivel de Inv</t>
  </si>
  <si>
    <t>t</t>
  </si>
  <si>
    <t xml:space="preserve">D </t>
  </si>
  <si>
    <t>P</t>
  </si>
  <si>
    <t>L</t>
  </si>
  <si>
    <t>C</t>
  </si>
  <si>
    <t>I</t>
  </si>
  <si>
    <t>K</t>
  </si>
  <si>
    <t>i</t>
  </si>
  <si>
    <t>σ</t>
  </si>
  <si>
    <t>α</t>
  </si>
  <si>
    <t>T</t>
  </si>
  <si>
    <t>s</t>
  </si>
  <si>
    <t>Costo alm</t>
  </si>
  <si>
    <t>H</t>
  </si>
  <si>
    <t>EOQ</t>
  </si>
  <si>
    <t>POQ</t>
  </si>
  <si>
    <t>año</t>
  </si>
  <si>
    <t>mes</t>
  </si>
  <si>
    <t>semana</t>
  </si>
  <si>
    <t>dia</t>
  </si>
  <si>
    <t>hora</t>
  </si>
  <si>
    <t>min</t>
  </si>
  <si>
    <t>otro</t>
  </si>
  <si>
    <t>Periodo simple</t>
  </si>
  <si>
    <t>Revisión Continua</t>
  </si>
  <si>
    <t>Revisión Periódica</t>
  </si>
  <si>
    <t>$/Unidad</t>
  </si>
  <si>
    <t>$/pedido</t>
  </si>
  <si>
    <t>unidades</t>
  </si>
  <si>
    <t>%</t>
  </si>
  <si>
    <t>Cantidad a recibir</t>
  </si>
  <si>
    <r>
      <t>D'(</t>
    </r>
    <r>
      <rPr>
        <sz val="10"/>
        <color theme="1"/>
        <rFont val="Aptos Narrow"/>
        <family val="2"/>
      </rPr>
      <t>μ)</t>
    </r>
  </si>
  <si>
    <t xml:space="preserve">Descuentos por cantidad </t>
  </si>
  <si>
    <t>Limite sup</t>
  </si>
  <si>
    <t>%  de descuento</t>
  </si>
  <si>
    <t>Costo final</t>
  </si>
  <si>
    <t>Renglones de descuento (min 2)</t>
  </si>
  <si>
    <t>SECTOR RESULTADOS</t>
  </si>
  <si>
    <t>Q</t>
  </si>
  <si>
    <t>Max</t>
  </si>
  <si>
    <t>PuntoRep</t>
  </si>
  <si>
    <t>Stock Segur</t>
  </si>
  <si>
    <t>R+S</t>
  </si>
  <si>
    <t>Pedid Rev.Per</t>
  </si>
  <si>
    <t>Q* con Desc</t>
  </si>
  <si>
    <t>Costo escasez</t>
  </si>
  <si>
    <t>Costo exceso</t>
  </si>
  <si>
    <t>Nivel serv. opti</t>
  </si>
  <si>
    <t>Costo admin</t>
  </si>
  <si>
    <t>Costo almac</t>
  </si>
  <si>
    <t>Costo merca</t>
  </si>
  <si>
    <t>Costo total</t>
  </si>
  <si>
    <t>Cantidad a pedir</t>
  </si>
  <si>
    <t>Ordenes en esp</t>
  </si>
  <si>
    <t>L/T</t>
  </si>
  <si>
    <t>n</t>
  </si>
  <si>
    <t>R</t>
  </si>
  <si>
    <t>S</t>
  </si>
  <si>
    <t>q</t>
  </si>
  <si>
    <t>Q*</t>
  </si>
  <si>
    <r>
      <rPr>
        <sz val="10"/>
        <color theme="1"/>
        <rFont val="Calibri"/>
        <family val="2"/>
      </rPr>
      <t>α</t>
    </r>
    <r>
      <rPr>
        <sz val="10"/>
        <color theme="1"/>
        <rFont val="Aptos Narrow"/>
        <family val="2"/>
      </rPr>
      <t>*</t>
    </r>
  </si>
  <si>
    <t>AD</t>
  </si>
  <si>
    <t>AL</t>
  </si>
  <si>
    <t>CM</t>
  </si>
  <si>
    <t>CT</t>
  </si>
  <si>
    <t>Ce</t>
  </si>
  <si>
    <t>unidades/pedido</t>
  </si>
  <si>
    <t>pedidos</t>
  </si>
  <si>
    <t>$</t>
  </si>
  <si>
    <t>SECTOR ANÁLISIS</t>
  </si>
  <si>
    <t>lote</t>
  </si>
  <si>
    <t>Nivel Serv optimo</t>
  </si>
  <si>
    <t>Co</t>
  </si>
  <si>
    <t>Q posible</t>
  </si>
  <si>
    <t>exacto</t>
  </si>
  <si>
    <t>anterior</t>
  </si>
  <si>
    <t>siguiente</t>
  </si>
  <si>
    <t>minimo</t>
  </si>
  <si>
    <t>Comparacion de costo por lote</t>
  </si>
  <si>
    <t>admin</t>
  </si>
  <si>
    <t>almacen</t>
  </si>
  <si>
    <t>total</t>
  </si>
  <si>
    <t>Calculos de EOQ</t>
  </si>
  <si>
    <t>Q optimo</t>
  </si>
  <si>
    <t>Costo oferta</t>
  </si>
  <si>
    <t>Costo Min</t>
  </si>
  <si>
    <t>Qoptimo</t>
  </si>
  <si>
    <t>Ciclo</t>
  </si>
  <si>
    <t>PedidoOptimo</t>
  </si>
  <si>
    <t>CostoAdm</t>
  </si>
  <si>
    <t>CostoAlma</t>
  </si>
  <si>
    <t>CostoMerca</t>
  </si>
  <si>
    <t>CostoTotal</t>
  </si>
  <si>
    <t>n° pedidos/udet</t>
  </si>
  <si>
    <t>T=Q/D=1/n</t>
  </si>
  <si>
    <t xml:space="preserve">lote de costo </t>
  </si>
  <si>
    <t>tpo producc</t>
  </si>
  <si>
    <t>Inv maximo</t>
  </si>
  <si>
    <t>Tiempo sin prod..</t>
  </si>
  <si>
    <t>Td</t>
  </si>
  <si>
    <t>$/u (no completar)</t>
  </si>
  <si>
    <t>μL=D'*L</t>
  </si>
  <si>
    <t>σL=σ*raizL</t>
  </si>
  <si>
    <t>T+L</t>
  </si>
  <si>
    <t>μT+L=D'*(T+L)</t>
  </si>
  <si>
    <t>σL=σ*raiz(T+L)</t>
  </si>
  <si>
    <t>&lt; Seleccione acá</t>
  </si>
  <si>
    <t>Calculos Canillita</t>
  </si>
  <si>
    <t>D demanda</t>
  </si>
  <si>
    <t>faltante</t>
  </si>
  <si>
    <t>QopCan</t>
  </si>
  <si>
    <t>InvMax</t>
  </si>
  <si>
    <t>Smax</t>
  </si>
  <si>
    <t>Tpo ciclo</t>
  </si>
  <si>
    <t>Tpo nivel+</t>
  </si>
  <si>
    <t>Tpo c faltas</t>
  </si>
  <si>
    <t>Cpedido</t>
  </si>
  <si>
    <t>Cmant</t>
  </si>
  <si>
    <t>Cescsaz</t>
  </si>
  <si>
    <t>Según yo</t>
  </si>
  <si>
    <t>Fracc critica</t>
  </si>
  <si>
    <t>Inv. max</t>
  </si>
  <si>
    <t>Imax</t>
  </si>
  <si>
    <t>Maximo Faltante</t>
  </si>
  <si>
    <t>Tpo. c/inv (-)</t>
  </si>
  <si>
    <t>Tpo. c/inv (+)</t>
  </si>
  <si>
    <t>Renglones de descuento (min 1)</t>
  </si>
  <si>
    <t>Min</t>
  </si>
  <si>
    <t>Desc</t>
  </si>
  <si>
    <t>QoptAbs</t>
  </si>
  <si>
    <t>Hold</t>
  </si>
  <si>
    <t>Qposible</t>
  </si>
  <si>
    <t>CADM</t>
  </si>
  <si>
    <t>Cmerca</t>
  </si>
  <si>
    <t>Calm</t>
  </si>
  <si>
    <t>Minimo</t>
  </si>
  <si>
    <t>Qdesc</t>
  </si>
  <si>
    <t>Minimo Cost</t>
  </si>
  <si>
    <t>Qcdes</t>
  </si>
  <si>
    <t>Cfinal</t>
  </si>
  <si>
    <t>min.Costo CT</t>
  </si>
  <si>
    <t>Descuento Obt</t>
  </si>
  <si>
    <t>CostoUnitFinal</t>
  </si>
  <si>
    <t>Costo mercad</t>
  </si>
  <si>
    <t>Nivel serv</t>
  </si>
  <si>
    <t>Qopt.Canill</t>
  </si>
  <si>
    <t>Duracion Ciclo</t>
  </si>
  <si>
    <t>Periodica</t>
  </si>
  <si>
    <t>EOQ/POQ/Cont</t>
  </si>
  <si>
    <t>Cadmin</t>
  </si>
  <si>
    <t>Cfinan</t>
  </si>
  <si>
    <t>Total</t>
  </si>
  <si>
    <t>Tiempo</t>
  </si>
  <si>
    <t>Calculo eje X</t>
  </si>
  <si>
    <t>rsd RESIDUO(Lead;Te)</t>
  </si>
  <si>
    <t>F6 Tde</t>
  </si>
  <si>
    <t>F5 Tprod</t>
  </si>
  <si>
    <t>f7 Tentrq</t>
  </si>
  <si>
    <t>Rev Cont</t>
  </si>
  <si>
    <t>x</t>
  </si>
  <si>
    <t>© optimiza</t>
  </si>
  <si>
    <t>CT* con Desc</t>
  </si>
  <si>
    <t>CT*</t>
  </si>
  <si>
    <t>qchica -I-s</t>
  </si>
  <si>
    <t>Nueva vision de canillita</t>
  </si>
  <si>
    <t>Costo (Co)</t>
  </si>
  <si>
    <t>desv est</t>
  </si>
  <si>
    <t>Demanda (mu)</t>
  </si>
  <si>
    <t>Rescate S (v)</t>
  </si>
  <si>
    <t>CR Fracc critica</t>
  </si>
  <si>
    <t>mu</t>
  </si>
  <si>
    <t>Cu</t>
  </si>
  <si>
    <t>ka</t>
  </si>
  <si>
    <t>hold</t>
  </si>
  <si>
    <t>peve</t>
  </si>
  <si>
    <t>costo</t>
  </si>
  <si>
    <t>rescate</t>
  </si>
  <si>
    <t>sigma</t>
  </si>
  <si>
    <t>newalfa</t>
  </si>
  <si>
    <t xml:space="preserve">Pv </t>
  </si>
  <si>
    <t>Costofalta</t>
  </si>
  <si>
    <t>Costoexe</t>
  </si>
  <si>
    <t>Z</t>
  </si>
  <si>
    <t>Q opt</t>
  </si>
  <si>
    <t>gan.esperada</t>
  </si>
  <si>
    <t>QoptCACA</t>
  </si>
  <si>
    <t>GanCan</t>
  </si>
  <si>
    <t>Costo Merca</t>
  </si>
  <si>
    <t>Ganancia esperada</t>
  </si>
  <si>
    <t>GE</t>
  </si>
  <si>
    <t>Cr</t>
  </si>
  <si>
    <t>multiStock27</t>
  </si>
  <si>
    <t>gzho9z</t>
  </si>
  <si>
    <t>27.0.1.260429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</si>
</sst>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"/>
    <numFmt numFmtId="166" formatCode="#,##0.0000"/>
    <numFmt numFmtId="167" formatCode="0.0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theme="1"/>
      <name val="Calibri"/>
      <family val="2"/>
    </font>
    <font>
      <sz val="10"/>
      <color theme="1"/>
      <name val="Aptos Narrow"/>
      <family val="2"/>
      <scheme val="minor"/>
    </font>
    <font>
      <sz val="10"/>
      <color theme="1"/>
      <name val="Aptos Narrow"/>
      <family val="2"/>
    </font>
    <font>
      <sz val="10"/>
      <color theme="1"/>
      <name val="Calibri"/>
      <family val="2"/>
    </font>
    <font>
      <b/>
      <sz val="10"/>
      <color theme="1"/>
      <name val="Aptos Narrow"/>
      <family val="2"/>
      <scheme val="minor"/>
    </font>
    <font>
      <sz val="10"/>
      <color theme="0" tint="-0.499984740745262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0"/>
      <color theme="9" tint="-0.499984740745262"/>
      <name val="Aptos Narrow"/>
      <family val="2"/>
      <scheme val="minor"/>
    </font>
    <font>
      <b/>
      <sz val="10"/>
      <color theme="1"/>
      <name val="Aptos Narrow"/>
      <family val="2"/>
    </font>
    <font>
      <b/>
      <sz val="12"/>
      <color rgb="FFFF0000"/>
      <name val="Aptos Narrow"/>
      <family val="2"/>
      <scheme val="minor"/>
    </font>
    <font>
      <sz val="1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6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rgb="FFFF0000"/>
      </right>
      <top/>
      <bottom style="medium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double">
        <color theme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2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3" borderId="0" xfId="0" applyFont="1" applyFill="1"/>
    <xf numFmtId="0" fontId="6" fillId="0" borderId="0" xfId="0" applyFont="1"/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6" borderId="0" xfId="0" applyFont="1" applyFill="1"/>
    <xf numFmtId="0" fontId="0" fillId="7" borderId="9" xfId="0" applyFill="1" applyBorder="1"/>
    <xf numFmtId="164" fontId="0" fillId="0" borderId="0" xfId="0" applyNumberFormat="1"/>
    <xf numFmtId="164" fontId="5" fillId="0" borderId="0" xfId="0" applyNumberFormat="1" applyFont="1"/>
    <xf numFmtId="0" fontId="5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5" fontId="5" fillId="0" borderId="0" xfId="0" applyNumberFormat="1" applyFont="1"/>
    <xf numFmtId="2" fontId="0" fillId="0" borderId="0" xfId="0" applyNumberFormat="1"/>
    <xf numFmtId="2" fontId="0" fillId="7" borderId="6" xfId="0" applyNumberFormat="1" applyFill="1" applyBorder="1"/>
    <xf numFmtId="0" fontId="5" fillId="7" borderId="1" xfId="0" applyFont="1" applyFill="1" applyBorder="1"/>
    <xf numFmtId="166" fontId="5" fillId="0" borderId="0" xfId="0" applyNumberFormat="1" applyFont="1"/>
    <xf numFmtId="164" fontId="8" fillId="0" borderId="0" xfId="0" applyNumberFormat="1" applyFont="1"/>
    <xf numFmtId="166" fontId="8" fillId="0" borderId="0" xfId="0" applyNumberFormat="1" applyFont="1"/>
    <xf numFmtId="0" fontId="5" fillId="0" borderId="18" xfId="0" applyFont="1" applyBorder="1" applyAlignment="1">
      <alignment horizontal="center"/>
    </xf>
    <xf numFmtId="0" fontId="5" fillId="0" borderId="9" xfId="0" applyFont="1" applyBorder="1"/>
    <xf numFmtId="10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0" fillId="0" borderId="0" xfId="0" applyFont="1"/>
    <xf numFmtId="0" fontId="13" fillId="0" borderId="0" xfId="0" applyFont="1" applyAlignment="1">
      <alignment horizontal="center"/>
    </xf>
    <xf numFmtId="0" fontId="5" fillId="2" borderId="1" xfId="0" applyFont="1" applyFill="1" applyBorder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0" fontId="5" fillId="2" borderId="1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left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9" fontId="10" fillId="0" borderId="0" xfId="1" applyFont="1" applyProtection="1">
      <protection locked="0"/>
    </xf>
    <xf numFmtId="0" fontId="10" fillId="0" borderId="0" xfId="0" applyFont="1" applyProtection="1">
      <protection locked="0"/>
    </xf>
    <xf numFmtId="0" fontId="5" fillId="2" borderId="0" xfId="0" applyFont="1" applyFill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5" fillId="4" borderId="0" xfId="0" applyFont="1" applyFill="1"/>
    <xf numFmtId="0" fontId="15" fillId="0" borderId="0" xfId="0" applyFont="1"/>
    <xf numFmtId="0" fontId="15" fillId="5" borderId="0" xfId="0" applyFont="1" applyFill="1"/>
    <xf numFmtId="0" fontId="0" fillId="0" borderId="18" xfId="0" applyBorder="1"/>
    <xf numFmtId="0" fontId="5" fillId="0" borderId="18" xfId="0" applyFont="1" applyBorder="1"/>
    <xf numFmtId="0" fontId="5" fillId="4" borderId="3" xfId="0" applyFont="1" applyFill="1" applyBorder="1"/>
    <xf numFmtId="0" fontId="11" fillId="0" borderId="6" xfId="0" applyFont="1" applyBorder="1"/>
    <xf numFmtId="0" fontId="15" fillId="5" borderId="3" xfId="0" applyFont="1" applyFill="1" applyBorder="1"/>
    <xf numFmtId="0" fontId="5" fillId="0" borderId="2" xfId="0" applyFont="1" applyBorder="1"/>
    <xf numFmtId="0" fontId="8" fillId="0" borderId="2" xfId="0" applyFont="1" applyBorder="1"/>
    <xf numFmtId="164" fontId="8" fillId="0" borderId="2" xfId="0" applyNumberFormat="1" applyFont="1" applyBorder="1"/>
    <xf numFmtId="0" fontId="12" fillId="0" borderId="0" xfId="0" applyFont="1" applyAlignment="1">
      <alignment horizontal="center"/>
    </xf>
    <xf numFmtId="164" fontId="15" fillId="0" borderId="0" xfId="0" applyNumberFormat="1" applyFont="1"/>
    <xf numFmtId="0" fontId="0" fillId="0" borderId="21" xfId="0" applyBorder="1"/>
    <xf numFmtId="0" fontId="4" fillId="0" borderId="0" xfId="0" applyFont="1" applyAlignment="1">
      <alignment vertical="center"/>
    </xf>
    <xf numFmtId="0" fontId="7" fillId="0" borderId="0" xfId="0" applyFont="1"/>
    <xf numFmtId="0" fontId="5" fillId="0" borderId="0" xfId="0" quotePrefix="1" applyFont="1"/>
    <xf numFmtId="0" fontId="17" fillId="0" borderId="0" xfId="0" applyFont="1"/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6" fillId="0" borderId="20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7" borderId="15" xfId="0" applyFont="1" applyFill="1" applyBorder="1" applyAlignment="1">
      <alignment horizontal="center"/>
    </xf>
    <xf numFmtId="0" fontId="8" fillId="7" borderId="16" xfId="0" applyFont="1" applyFill="1" applyBorder="1" applyAlignment="1">
      <alignment horizontal="center"/>
    </xf>
    <xf numFmtId="0" fontId="8" fillId="7" borderId="17" xfId="0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8" borderId="0" xfId="0" applyFont="1" applyFill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5" fillId="0" borderId="4" xfId="0" applyNumberFormat="1" applyFont="1" applyBorder="1"/>
    <xf numFmtId="2" fontId="5" fillId="0" borderId="8" xfId="0" applyNumberFormat="1" applyFont="1" applyBorder="1"/>
    <xf numFmtId="0" fontId="5" fillId="9" borderId="8" xfId="0" applyFont="1" applyFill="1" applyBorder="1" applyAlignment="1">
      <alignment horizontal="center"/>
    </xf>
    <xf numFmtId="0" fontId="5" fillId="9" borderId="5" xfId="0" applyFont="1" applyFill="1" applyBorder="1" applyAlignment="1">
      <alignment horizontal="center"/>
    </xf>
    <xf numFmtId="1" fontId="5" fillId="9" borderId="0" xfId="0" applyNumberFormat="1" applyFont="1" applyFill="1"/>
    <xf numFmtId="0" fontId="5" fillId="9" borderId="4" xfId="0" applyFont="1" applyFill="1" applyBorder="1"/>
    <xf numFmtId="0" fontId="5" fillId="9" borderId="8" xfId="0" applyFont="1" applyFill="1" applyBorder="1"/>
    <xf numFmtId="164" fontId="5" fillId="9" borderId="8" xfId="0" applyNumberFormat="1" applyFont="1" applyFill="1" applyBorder="1"/>
    <xf numFmtId="164" fontId="16" fillId="0" borderId="0" xfId="0" applyNumberFormat="1" applyFont="1"/>
    <xf numFmtId="0" fontId="14" fillId="9" borderId="0" xfId="0" applyFont="1" applyFill="1"/>
    <xf numFmtId="0" fontId="0" fillId="9" borderId="0" xfId="0" applyFill="1"/>
    <xf numFmtId="0" fontId="0" fillId="9" borderId="0" xfId="0" applyFill="1" applyAlignment="1">
      <alignment horizontal="center"/>
    </xf>
    <xf numFmtId="9" fontId="0" fillId="9" borderId="0" xfId="0" applyNumberFormat="1" applyFill="1"/>
    <xf numFmtId="1" fontId="0" fillId="9" borderId="0" xfId="0" applyNumberFormat="1" applyFill="1"/>
    <xf numFmtId="2" fontId="0" fillId="9" borderId="0" xfId="0" applyNumberFormat="1" applyFill="1"/>
    <xf numFmtId="0" fontId="18" fillId="0" borderId="2" xfId="0" applyFont="1" applyBorder="1"/>
    <xf numFmtId="0" fontId="19" fillId="0" borderId="5" xfId="0" applyFont="1" applyBorder="1"/>
  </cellXfs>
  <cellStyles count="2">
    <cellStyle name="Normal" xfId="0" builtinId="0"/>
    <cellStyle name="Porcentaje" xfId="1" builtinId="5"/>
  </cellStyles>
  <dxfs count="91">
    <dxf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BABABA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rgb="FFFF99FF"/>
        </patternFill>
      </fill>
    </dxf>
    <dxf>
      <fill>
        <patternFill>
          <bgColor rgb="FF47D359"/>
        </patternFill>
      </fill>
    </dxf>
    <dxf>
      <fill>
        <patternFill>
          <bgColor rgb="FFCCCCFF"/>
        </patternFill>
      </fill>
    </dxf>
    <dxf>
      <fill>
        <patternFill>
          <bgColor rgb="FFFF99FF"/>
        </patternFill>
      </fill>
    </dxf>
    <dxf>
      <fill>
        <patternFill>
          <bgColor rgb="FF47D359"/>
        </patternFill>
      </fill>
    </dxf>
    <dxf>
      <fill>
        <patternFill>
          <bgColor rgb="FF83CCEB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CCFF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47D359"/>
        </patternFill>
      </fill>
    </dxf>
    <dxf>
      <fill>
        <patternFill>
          <bgColor rgb="FF83CCEB"/>
        </patternFill>
      </fill>
    </dxf>
    <dxf>
      <fill>
        <patternFill>
          <bgColor rgb="FFBABABA"/>
        </patternFill>
      </fill>
    </dxf>
    <dxf>
      <fill>
        <patternFill>
          <bgColor rgb="FFCCCCFF"/>
        </patternFill>
      </fill>
    </dxf>
    <dxf>
      <fill>
        <patternFill>
          <bgColor rgb="FFFF99FF"/>
        </patternFill>
      </fill>
    </dxf>
    <dxf>
      <fill>
        <patternFill>
          <bgColor rgb="FFBABABA"/>
        </patternFill>
      </fill>
    </dxf>
    <dxf>
      <fill>
        <patternFill>
          <bgColor rgb="FF83CCEB"/>
        </patternFill>
      </fill>
    </dxf>
    <dxf>
      <fill>
        <patternFill>
          <bgColor rgb="FF47D359"/>
        </patternFill>
      </fill>
    </dxf>
    <dxf>
      <fill>
        <patternFill>
          <bgColor rgb="FFCCCCFF"/>
        </patternFill>
      </fill>
    </dxf>
    <dxf>
      <fill>
        <patternFill>
          <bgColor rgb="FFFF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47D3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83CCEB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ABAB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00"/>
      </font>
    </dxf>
    <dxf>
      <fill>
        <patternFill>
          <bgColor theme="0"/>
        </patternFill>
      </fill>
    </dxf>
    <dxf>
      <font>
        <color rgb="FFFFFF0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ont>
        <color theme="0" tint="-0.34998626667073579"/>
      </font>
    </dxf>
    <dxf>
      <font>
        <color theme="0"/>
      </font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/>
      </font>
    </dxf>
    <dxf>
      <fill>
        <patternFill>
          <bgColor rgb="FFCCCCFF"/>
        </patternFill>
      </fill>
    </dxf>
    <dxf>
      <fill>
        <patternFill>
          <bgColor rgb="FFBABABA"/>
        </patternFill>
      </fill>
    </dxf>
    <dxf>
      <fill>
        <patternFill>
          <bgColor rgb="FFFF99FF"/>
        </patternFill>
      </fill>
    </dxf>
    <dxf>
      <font>
        <color theme="0"/>
      </font>
    </dxf>
    <dxf>
      <fill>
        <patternFill>
          <bgColor rgb="FF83CCEB"/>
        </patternFill>
      </fill>
    </dxf>
    <dxf>
      <fill>
        <patternFill>
          <bgColor rgb="FF47D359"/>
        </patternFill>
      </fill>
    </dxf>
    <dxf>
      <fill>
        <patternFill>
          <bgColor rgb="FFCCCCFF"/>
        </patternFill>
      </fill>
    </dxf>
    <dxf>
      <fill>
        <patternFill>
          <bgColor rgb="FFBABABA"/>
        </patternFill>
      </fill>
    </dxf>
    <dxf>
      <fill>
        <patternFill>
          <bgColor rgb="FFFF99FF"/>
        </patternFill>
      </fill>
    </dxf>
    <dxf>
      <fill>
        <patternFill>
          <bgColor rgb="FFCCCCFF"/>
        </patternFill>
      </fill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CCCCFF"/>
      <color rgb="FFBABABA"/>
      <color rgb="FF83CCEB"/>
      <color rgb="FF47D359"/>
      <color rgb="FF33CC33"/>
      <color rgb="FFFF99FF"/>
      <color rgb="FF6A6A6A"/>
      <color rgb="FFA6A6A6"/>
      <color rgb="FF83FFEB"/>
      <color rgb="FFFA40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alcChain" Target="calcChain.xml"/><Relationship Id="rId4" Type="http://schemas.openxmlformats.org/officeDocument/2006/relationships/theme" Target="theme/theme1.xml"/><Relationship Id="rId9" Type="http://schemas.microsoft.com/office/2022/11/relationships/FeaturePropertyBag" Target="featurePropertyBag/featurePropertyBag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Análisis de costos</a:t>
            </a:r>
          </a:p>
        </c:rich>
      </c:tx>
      <c:layout>
        <c:manualLayout>
          <c:xMode val="edge"/>
          <c:yMode val="edge"/>
          <c:x val="0.37830850761489215"/>
          <c:y val="2.16049330210622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Graficos!$U$1</c:f>
              <c:strCache>
                <c:ptCount val="1"/>
                <c:pt idx="0">
                  <c:v>Cadmin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Graficos!$T$2:$T$22</c:f>
              <c:numCache>
                <c:formatCode>0</c:formatCode>
                <c:ptCount val="21"/>
                <c:pt idx="0">
                  <c:v>30.983866769659336</c:v>
                </c:pt>
                <c:pt idx="1">
                  <c:v>34.856850115866756</c:v>
                </c:pt>
                <c:pt idx="2">
                  <c:v>38.729833462074168</c:v>
                </c:pt>
                <c:pt idx="3">
                  <c:v>42.602816808281588</c:v>
                </c:pt>
                <c:pt idx="4">
                  <c:v>46.475800154489001</c:v>
                </c:pt>
                <c:pt idx="5">
                  <c:v>50.34878350069642</c:v>
                </c:pt>
                <c:pt idx="6">
                  <c:v>54.221766846903833</c:v>
                </c:pt>
                <c:pt idx="7">
                  <c:v>58.094750193111253</c:v>
                </c:pt>
                <c:pt idx="8">
                  <c:v>61.967733539318672</c:v>
                </c:pt>
                <c:pt idx="9">
                  <c:v>65.840716885526078</c:v>
                </c:pt>
                <c:pt idx="10">
                  <c:v>69.713700231733512</c:v>
                </c:pt>
                <c:pt idx="11">
                  <c:v>73.586683577940917</c:v>
                </c:pt>
                <c:pt idx="12">
                  <c:v>77.459666924148337</c:v>
                </c:pt>
                <c:pt idx="13">
                  <c:v>81.332650270355757</c:v>
                </c:pt>
                <c:pt idx="14">
                  <c:v>85.205633616563176</c:v>
                </c:pt>
                <c:pt idx="15">
                  <c:v>89.078616962770582</c:v>
                </c:pt>
                <c:pt idx="16">
                  <c:v>92.951600308978001</c:v>
                </c:pt>
                <c:pt idx="17">
                  <c:v>96.824583655185421</c:v>
                </c:pt>
                <c:pt idx="18">
                  <c:v>100.69756700139284</c:v>
                </c:pt>
                <c:pt idx="19">
                  <c:v>104.57055034760026</c:v>
                </c:pt>
                <c:pt idx="20">
                  <c:v>108.44353369380767</c:v>
                </c:pt>
              </c:numCache>
            </c:numRef>
          </c:cat>
          <c:val>
            <c:numRef>
              <c:f>Graficos!$U$2:$U$22</c:f>
              <c:numCache>
                <c:formatCode>0</c:formatCode>
                <c:ptCount val="21"/>
                <c:pt idx="0">
                  <c:v>580.94750193111247</c:v>
                </c:pt>
                <c:pt idx="1">
                  <c:v>516.39777949432221</c:v>
                </c:pt>
                <c:pt idx="2">
                  <c:v>464.75800154489002</c:v>
                </c:pt>
                <c:pt idx="3">
                  <c:v>422.50727413171819</c:v>
                </c:pt>
                <c:pt idx="4">
                  <c:v>387.29833462074168</c:v>
                </c:pt>
                <c:pt idx="5">
                  <c:v>357.50615503453076</c:v>
                </c:pt>
                <c:pt idx="6">
                  <c:v>331.9700011034929</c:v>
                </c:pt>
                <c:pt idx="7">
                  <c:v>309.83866769659335</c:v>
                </c:pt>
                <c:pt idx="8">
                  <c:v>290.47375096555623</c:v>
                </c:pt>
                <c:pt idx="9">
                  <c:v>273.38705973228826</c:v>
                </c:pt>
                <c:pt idx="10">
                  <c:v>258.1988897471611</c:v>
                </c:pt>
                <c:pt idx="11">
                  <c:v>244.60947449731054</c:v>
                </c:pt>
                <c:pt idx="12">
                  <c:v>232.37900077244501</c:v>
                </c:pt>
                <c:pt idx="13">
                  <c:v>221.31333406899523</c:v>
                </c:pt>
                <c:pt idx="14">
                  <c:v>211.2536370658591</c:v>
                </c:pt>
                <c:pt idx="15">
                  <c:v>202.06869632386525</c:v>
                </c:pt>
                <c:pt idx="16">
                  <c:v>193.64916731037084</c:v>
                </c:pt>
                <c:pt idx="17">
                  <c:v>185.903200617956</c:v>
                </c:pt>
                <c:pt idx="18">
                  <c:v>178.75307751726538</c:v>
                </c:pt>
                <c:pt idx="19">
                  <c:v>172.13259316477408</c:v>
                </c:pt>
                <c:pt idx="20">
                  <c:v>165.98500055174645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96-4E94-AFD2-5256A9AC2CCC}"/>
            </c:ext>
          </c:extLst>
        </c:ser>
        <c:ser>
          <c:idx val="1"/>
          <c:order val="1"/>
          <c:tx>
            <c:strRef>
              <c:f>Graficos!$V$1</c:f>
              <c:strCache>
                <c:ptCount val="1"/>
                <c:pt idx="0">
                  <c:v>Cfinan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Graficos!$T$2:$T$22</c:f>
              <c:numCache>
                <c:formatCode>0</c:formatCode>
                <c:ptCount val="21"/>
                <c:pt idx="0">
                  <c:v>30.983866769659336</c:v>
                </c:pt>
                <c:pt idx="1">
                  <c:v>34.856850115866756</c:v>
                </c:pt>
                <c:pt idx="2">
                  <c:v>38.729833462074168</c:v>
                </c:pt>
                <c:pt idx="3">
                  <c:v>42.602816808281588</c:v>
                </c:pt>
                <c:pt idx="4">
                  <c:v>46.475800154489001</c:v>
                </c:pt>
                <c:pt idx="5">
                  <c:v>50.34878350069642</c:v>
                </c:pt>
                <c:pt idx="6">
                  <c:v>54.221766846903833</c:v>
                </c:pt>
                <c:pt idx="7">
                  <c:v>58.094750193111253</c:v>
                </c:pt>
                <c:pt idx="8">
                  <c:v>61.967733539318672</c:v>
                </c:pt>
                <c:pt idx="9">
                  <c:v>65.840716885526078</c:v>
                </c:pt>
                <c:pt idx="10">
                  <c:v>69.713700231733512</c:v>
                </c:pt>
                <c:pt idx="11">
                  <c:v>73.586683577940917</c:v>
                </c:pt>
                <c:pt idx="12">
                  <c:v>77.459666924148337</c:v>
                </c:pt>
                <c:pt idx="13">
                  <c:v>81.332650270355757</c:v>
                </c:pt>
                <c:pt idx="14">
                  <c:v>85.205633616563176</c:v>
                </c:pt>
                <c:pt idx="15">
                  <c:v>89.078616962770582</c:v>
                </c:pt>
                <c:pt idx="16">
                  <c:v>92.951600308978001</c:v>
                </c:pt>
                <c:pt idx="17">
                  <c:v>96.824583655185421</c:v>
                </c:pt>
                <c:pt idx="18">
                  <c:v>100.69756700139284</c:v>
                </c:pt>
                <c:pt idx="19">
                  <c:v>104.57055034760026</c:v>
                </c:pt>
                <c:pt idx="20">
                  <c:v>108.44353369380767</c:v>
                </c:pt>
              </c:numCache>
            </c:numRef>
          </c:cat>
          <c:val>
            <c:numRef>
              <c:f>Graficos!$V$2:$V$22</c:f>
              <c:numCache>
                <c:formatCode>0</c:formatCode>
                <c:ptCount val="21"/>
                <c:pt idx="0">
                  <c:v>92.951600308978016</c:v>
                </c:pt>
                <c:pt idx="1">
                  <c:v>104.57055034760026</c:v>
                </c:pt>
                <c:pt idx="2">
                  <c:v>116.18950038622251</c:v>
                </c:pt>
                <c:pt idx="3">
                  <c:v>127.80845042484476</c:v>
                </c:pt>
                <c:pt idx="4">
                  <c:v>139.427400463467</c:v>
                </c:pt>
                <c:pt idx="5">
                  <c:v>151.04635050208927</c:v>
                </c:pt>
                <c:pt idx="6">
                  <c:v>162.66530054071148</c:v>
                </c:pt>
                <c:pt idx="7">
                  <c:v>174.28425057933376</c:v>
                </c:pt>
                <c:pt idx="8">
                  <c:v>185.90320061795603</c:v>
                </c:pt>
                <c:pt idx="9">
                  <c:v>197.52215065657822</c:v>
                </c:pt>
                <c:pt idx="10">
                  <c:v>209.14110069520052</c:v>
                </c:pt>
                <c:pt idx="11">
                  <c:v>220.76005073382277</c:v>
                </c:pt>
                <c:pt idx="12">
                  <c:v>232.37900077244501</c:v>
                </c:pt>
                <c:pt idx="13">
                  <c:v>243.99795081106726</c:v>
                </c:pt>
                <c:pt idx="14">
                  <c:v>255.61690084968953</c:v>
                </c:pt>
                <c:pt idx="15">
                  <c:v>267.23585088831175</c:v>
                </c:pt>
                <c:pt idx="16">
                  <c:v>278.85480092693399</c:v>
                </c:pt>
                <c:pt idx="17">
                  <c:v>290.47375096555629</c:v>
                </c:pt>
                <c:pt idx="18">
                  <c:v>302.09270100417854</c:v>
                </c:pt>
                <c:pt idx="19">
                  <c:v>313.71165104280078</c:v>
                </c:pt>
                <c:pt idx="20">
                  <c:v>325.33060108142297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96-4E94-AFD2-5256A9AC2CCC}"/>
            </c:ext>
          </c:extLst>
        </c:ser>
        <c:ser>
          <c:idx val="2"/>
          <c:order val="2"/>
          <c:tx>
            <c:strRef>
              <c:f>Graficos!$W$1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Graficos!$T$2:$T$22</c:f>
              <c:numCache>
                <c:formatCode>0</c:formatCode>
                <c:ptCount val="21"/>
                <c:pt idx="0">
                  <c:v>30.983866769659336</c:v>
                </c:pt>
                <c:pt idx="1">
                  <c:v>34.856850115866756</c:v>
                </c:pt>
                <c:pt idx="2">
                  <c:v>38.729833462074168</c:v>
                </c:pt>
                <c:pt idx="3">
                  <c:v>42.602816808281588</c:v>
                </c:pt>
                <c:pt idx="4">
                  <c:v>46.475800154489001</c:v>
                </c:pt>
                <c:pt idx="5">
                  <c:v>50.34878350069642</c:v>
                </c:pt>
                <c:pt idx="6">
                  <c:v>54.221766846903833</c:v>
                </c:pt>
                <c:pt idx="7">
                  <c:v>58.094750193111253</c:v>
                </c:pt>
                <c:pt idx="8">
                  <c:v>61.967733539318672</c:v>
                </c:pt>
                <c:pt idx="9">
                  <c:v>65.840716885526078</c:v>
                </c:pt>
                <c:pt idx="10">
                  <c:v>69.713700231733512</c:v>
                </c:pt>
                <c:pt idx="11">
                  <c:v>73.586683577940917</c:v>
                </c:pt>
                <c:pt idx="12">
                  <c:v>77.459666924148337</c:v>
                </c:pt>
                <c:pt idx="13">
                  <c:v>81.332650270355757</c:v>
                </c:pt>
                <c:pt idx="14">
                  <c:v>85.205633616563176</c:v>
                </c:pt>
                <c:pt idx="15">
                  <c:v>89.078616962770582</c:v>
                </c:pt>
                <c:pt idx="16">
                  <c:v>92.951600308978001</c:v>
                </c:pt>
                <c:pt idx="17">
                  <c:v>96.824583655185421</c:v>
                </c:pt>
                <c:pt idx="18">
                  <c:v>100.69756700139284</c:v>
                </c:pt>
                <c:pt idx="19">
                  <c:v>104.57055034760026</c:v>
                </c:pt>
                <c:pt idx="20">
                  <c:v>108.44353369380767</c:v>
                </c:pt>
              </c:numCache>
            </c:numRef>
          </c:cat>
          <c:val>
            <c:numRef>
              <c:f>Graficos!$W$2:$W$22</c:f>
              <c:numCache>
                <c:formatCode>0</c:formatCode>
                <c:ptCount val="21"/>
                <c:pt idx="0">
                  <c:v>673.89910224009054</c:v>
                </c:pt>
                <c:pt idx="1">
                  <c:v>620.96832984192247</c:v>
                </c:pt>
                <c:pt idx="2">
                  <c:v>580.94750193111258</c:v>
                </c:pt>
                <c:pt idx="3">
                  <c:v>550.31572455656294</c:v>
                </c:pt>
                <c:pt idx="4">
                  <c:v>526.72573508420874</c:v>
                </c:pt>
                <c:pt idx="5">
                  <c:v>508.55250553662006</c:v>
                </c:pt>
                <c:pt idx="6">
                  <c:v>494.63530164420439</c:v>
                </c:pt>
                <c:pt idx="7">
                  <c:v>484.12291827592708</c:v>
                </c:pt>
                <c:pt idx="8">
                  <c:v>476.37695158351227</c:v>
                </c:pt>
                <c:pt idx="9">
                  <c:v>470.90921038886648</c:v>
                </c:pt>
                <c:pt idx="10">
                  <c:v>467.33999044236162</c:v>
                </c:pt>
                <c:pt idx="11">
                  <c:v>465.36952523113331</c:v>
                </c:pt>
                <c:pt idx="12">
                  <c:v>464.75800154489002</c:v>
                </c:pt>
                <c:pt idx="13">
                  <c:v>465.31128488006249</c:v>
                </c:pt>
                <c:pt idx="14">
                  <c:v>466.87053791554865</c:v>
                </c:pt>
                <c:pt idx="15">
                  <c:v>469.304547212177</c:v>
                </c:pt>
                <c:pt idx="16">
                  <c:v>472.50396823730483</c:v>
                </c:pt>
                <c:pt idx="17">
                  <c:v>476.37695158351232</c:v>
                </c:pt>
                <c:pt idx="18">
                  <c:v>480.84577852144389</c:v>
                </c:pt>
                <c:pt idx="19">
                  <c:v>485.84424420757489</c:v>
                </c:pt>
                <c:pt idx="20">
                  <c:v>491.31560163316942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96-4E94-AFD2-5256A9AC2CCC}"/>
            </c:ext>
          </c:extLst>
        </c:ser>
        <c:ser>
          <c:idx val="3"/>
          <c:order val="3"/>
          <c:tx>
            <c:v>Optimo</c:v>
          </c:tx>
          <c:spPr>
            <a:ln w="28575" cap="rnd">
              <a:solidFill>
                <a:schemeClr val="accent1">
                  <a:shade val="1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Graficos!$X$2:$X$22</c:f>
              <c:numCache>
                <c:formatCode>0</c:formatCode>
                <c:ptCount val="21"/>
                <c:pt idx="0">
                  <c:v>464.75800154489002</c:v>
                </c:pt>
                <c:pt idx="1">
                  <c:v>464.75800154489002</c:v>
                </c:pt>
                <c:pt idx="2">
                  <c:v>464.75800154489002</c:v>
                </c:pt>
                <c:pt idx="3">
                  <c:v>464.75800154489002</c:v>
                </c:pt>
                <c:pt idx="4">
                  <c:v>464.75800154489002</c:v>
                </c:pt>
                <c:pt idx="5">
                  <c:v>464.75800154489002</c:v>
                </c:pt>
                <c:pt idx="6">
                  <c:v>464.75800154489002</c:v>
                </c:pt>
                <c:pt idx="7">
                  <c:v>464.75800154489002</c:v>
                </c:pt>
                <c:pt idx="8">
                  <c:v>464.75800154489002</c:v>
                </c:pt>
                <c:pt idx="9">
                  <c:v>464.75800154489002</c:v>
                </c:pt>
                <c:pt idx="10">
                  <c:v>464.75800154489002</c:v>
                </c:pt>
                <c:pt idx="11">
                  <c:v>464.75800154489002</c:v>
                </c:pt>
                <c:pt idx="12">
                  <c:v>464.75800154489002</c:v>
                </c:pt>
                <c:pt idx="13">
                  <c:v>464.75800154489002</c:v>
                </c:pt>
                <c:pt idx="14">
                  <c:v>464.75800154489002</c:v>
                </c:pt>
                <c:pt idx="15">
                  <c:v>464.75800154489002</c:v>
                </c:pt>
                <c:pt idx="16">
                  <c:v>464.75800154489002</c:v>
                </c:pt>
                <c:pt idx="17">
                  <c:v>464.75800154489002</c:v>
                </c:pt>
                <c:pt idx="18">
                  <c:v>464.75800154489002</c:v>
                </c:pt>
                <c:pt idx="19">
                  <c:v>464.75800154489002</c:v>
                </c:pt>
                <c:pt idx="20">
                  <c:v>464.75800154489002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96-4E94-AFD2-5256A9AC2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4683447"/>
        <c:axId val="394677327"/>
      </c:lineChart>
      <c:catAx>
        <c:axId val="394683447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94677327"/>
        <c:crosses val="autoZero"/>
        <c:auto val="1"/>
        <c:lblAlgn val="ctr"/>
        <c:lblOffset val="100"/>
        <c:noMultiLvlLbl val="0"/>
      </c:catAx>
      <c:valAx>
        <c:axId val="394677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94683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5.9080927384077005E-2"/>
          <c:y val="2.5428331875182269E-2"/>
          <c:w val="0.89014129483814519"/>
          <c:h val="0.72125801983085447"/>
        </c:manualLayout>
      </c:layout>
      <c:scatterChart>
        <c:scatterStyle val="lineMarker"/>
        <c:varyColors val="0"/>
        <c:ser>
          <c:idx val="0"/>
          <c:order val="0"/>
          <c:tx>
            <c:strRef>
              <c:f>Graficos!$AE$22:$AE$23</c:f>
              <c:strCache>
                <c:ptCount val="2"/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Graficos!$AD$24:$AD$29</c:f>
            </c:numRef>
          </c:xVal>
          <c:yVal>
            <c:numRef>
              <c:f>Graficos!$AE$24:$AE$29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01-404F-8A33-A6EBF257F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6610552"/>
        <c:axId val="926608392"/>
      </c:scatterChart>
      <c:valAx>
        <c:axId val="926610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926608392"/>
        <c:crosses val="autoZero"/>
        <c:crossBetween val="midCat"/>
      </c:valAx>
      <c:valAx>
        <c:axId val="926608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926610552"/>
        <c:crosses val="autoZero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Graficos!$AP$1</c:f>
              <c:strCache>
                <c:ptCount val="1"/>
                <c:pt idx="0">
                  <c:v>EOQ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Graficos!$AO$2:$AO$20</c:f>
              <c:numCache>
                <c:formatCode>0.00</c:formatCode>
                <c:ptCount val="19"/>
                <c:pt idx="0">
                  <c:v>0</c:v>
                </c:pt>
                <c:pt idx="1">
                  <c:v>0.41110071368116596</c:v>
                </c:pt>
                <c:pt idx="2">
                  <c:v>0.43033148291193518</c:v>
                </c:pt>
                <c:pt idx="3">
                  <c:v>0.43033148291193518</c:v>
                </c:pt>
                <c:pt idx="4">
                  <c:v>0.84143219659310109</c:v>
                </c:pt>
                <c:pt idx="5">
                  <c:v>0.86066296582387036</c:v>
                </c:pt>
                <c:pt idx="6">
                  <c:v>0.86066296582387036</c:v>
                </c:pt>
                <c:pt idx="7">
                  <c:v>1.2717636795050362</c:v>
                </c:pt>
                <c:pt idx="8">
                  <c:v>1.2909944487358056</c:v>
                </c:pt>
                <c:pt idx="9">
                  <c:v>1.2909944487358056</c:v>
                </c:pt>
                <c:pt idx="10">
                  <c:v>1.7020951624169716</c:v>
                </c:pt>
                <c:pt idx="11">
                  <c:v>1.7213259316477407</c:v>
                </c:pt>
                <c:pt idx="12">
                  <c:v>1.7213259316477407</c:v>
                </c:pt>
                <c:pt idx="13">
                  <c:v>2.1324266453289065</c:v>
                </c:pt>
                <c:pt idx="14">
                  <c:v>2.1516574145596761</c:v>
                </c:pt>
                <c:pt idx="15">
                  <c:v>2.1516574145596761</c:v>
                </c:pt>
                <c:pt idx="16">
                  <c:v>2.562758128240842</c:v>
                </c:pt>
                <c:pt idx="17">
                  <c:v>2.5819888974716112</c:v>
                </c:pt>
                <c:pt idx="18">
                  <c:v>2.5819888974716112</c:v>
                </c:pt>
              </c:numCache>
            </c:numRef>
          </c:xVal>
          <c:yVal>
            <c:numRef>
              <c:f>Graficos!$AP$2:$AP$20</c:f>
              <c:numCache>
                <c:formatCode>General</c:formatCode>
                <c:ptCount val="19"/>
                <c:pt idx="0">
                  <c:v>77.459666924148337</c:v>
                </c:pt>
                <c:pt idx="1">
                  <c:v>3.4615384615384617</c:v>
                </c:pt>
                <c:pt idx="2">
                  <c:v>0</c:v>
                </c:pt>
                <c:pt idx="3">
                  <c:v>77.459666924148337</c:v>
                </c:pt>
                <c:pt idx="4">
                  <c:v>3.4615384615384617</c:v>
                </c:pt>
                <c:pt idx="5">
                  <c:v>0</c:v>
                </c:pt>
                <c:pt idx="6">
                  <c:v>77.459666924148337</c:v>
                </c:pt>
                <c:pt idx="7">
                  <c:v>3.4615384615384617</c:v>
                </c:pt>
                <c:pt idx="8">
                  <c:v>0</c:v>
                </c:pt>
                <c:pt idx="9">
                  <c:v>77.459666924148337</c:v>
                </c:pt>
                <c:pt idx="10">
                  <c:v>3.4615384615384617</c:v>
                </c:pt>
                <c:pt idx="11">
                  <c:v>0</c:v>
                </c:pt>
                <c:pt idx="12">
                  <c:v>77.459666924148337</c:v>
                </c:pt>
                <c:pt idx="13">
                  <c:v>3.4615384615384617</c:v>
                </c:pt>
                <c:pt idx="14">
                  <c:v>0</c:v>
                </c:pt>
                <c:pt idx="15">
                  <c:v>77.459666924148337</c:v>
                </c:pt>
                <c:pt idx="16">
                  <c:v>3.4615384615384617</c:v>
                </c:pt>
                <c:pt idx="17">
                  <c:v>0</c:v>
                </c:pt>
                <c:pt idx="18">
                  <c:v>77.459666924148337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10-446A-B6E7-26593D39CF95}"/>
            </c:ext>
          </c:extLst>
        </c:ser>
        <c:ser>
          <c:idx val="1"/>
          <c:order val="1"/>
          <c:tx>
            <c:strRef>
              <c:f>Graficos!$AQ$1</c:f>
              <c:strCache>
                <c:ptCount val="1"/>
                <c:pt idx="0">
                  <c:v>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6.6666666666666666E-2"/>
                  <c:y val="-4.166666666666666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7D713AE-D349-4807-B25F-43043759CFC4}" type="CELLRANGE">
                      <a:rPr lang="en-US"/>
                      <a:pPr>
                        <a:defRPr b="1"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s-AR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AR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6310-446A-B6E7-26593D39CF9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6310-446A-B6E7-26593D39CF9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10-446A-B6E7-26593D39CF9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6310-446A-B6E7-26593D39CF9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6310-446A-B6E7-26593D39CF9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6310-446A-B6E7-26593D39CF9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6310-446A-B6E7-26593D39CF9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6310-446A-B6E7-26593D39CF9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6310-446A-B6E7-26593D39CF9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6310-446A-B6E7-26593D39CF9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6310-446A-B6E7-26593D39CF9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6310-446A-B6E7-26593D39CF9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6310-446A-B6E7-26593D39CF9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6310-446A-B6E7-26593D39CF9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6310-446A-B6E7-26593D39CF9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6310-446A-B6E7-26593D39CF9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6310-446A-B6E7-26593D39CF9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6310-446A-B6E7-26593D39CF9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6310-446A-B6E7-26593D39CF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Graficos!$AO$2:$AO$20</c:f>
              <c:numCache>
                <c:formatCode>0.00</c:formatCode>
                <c:ptCount val="19"/>
                <c:pt idx="0">
                  <c:v>0</c:v>
                </c:pt>
                <c:pt idx="1">
                  <c:v>0.41110071368116596</c:v>
                </c:pt>
                <c:pt idx="2">
                  <c:v>0.43033148291193518</c:v>
                </c:pt>
                <c:pt idx="3">
                  <c:v>0.43033148291193518</c:v>
                </c:pt>
                <c:pt idx="4">
                  <c:v>0.84143219659310109</c:v>
                </c:pt>
                <c:pt idx="5">
                  <c:v>0.86066296582387036</c:v>
                </c:pt>
                <c:pt idx="6">
                  <c:v>0.86066296582387036</c:v>
                </c:pt>
                <c:pt idx="7">
                  <c:v>1.2717636795050362</c:v>
                </c:pt>
                <c:pt idx="8">
                  <c:v>1.2909944487358056</c:v>
                </c:pt>
                <c:pt idx="9">
                  <c:v>1.2909944487358056</c:v>
                </c:pt>
                <c:pt idx="10">
                  <c:v>1.7020951624169716</c:v>
                </c:pt>
                <c:pt idx="11">
                  <c:v>1.7213259316477407</c:v>
                </c:pt>
                <c:pt idx="12">
                  <c:v>1.7213259316477407</c:v>
                </c:pt>
                <c:pt idx="13">
                  <c:v>2.1324266453289065</c:v>
                </c:pt>
                <c:pt idx="14">
                  <c:v>2.1516574145596761</c:v>
                </c:pt>
                <c:pt idx="15">
                  <c:v>2.1516574145596761</c:v>
                </c:pt>
                <c:pt idx="16">
                  <c:v>2.562758128240842</c:v>
                </c:pt>
                <c:pt idx="17">
                  <c:v>2.5819888974716112</c:v>
                </c:pt>
                <c:pt idx="18">
                  <c:v>2.5819888974716112</c:v>
                </c:pt>
              </c:numCache>
            </c:numRef>
          </c:xVal>
          <c:yVal>
            <c:numRef>
              <c:f>Graficos!$AQ$2:$AQ$20</c:f>
              <c:numCache>
                <c:formatCode>General</c:formatCode>
                <c:ptCount val="19"/>
                <c:pt idx="0">
                  <c:v>3.4615384615384617</c:v>
                </c:pt>
                <c:pt idx="1">
                  <c:v>3.4615384615384617</c:v>
                </c:pt>
                <c:pt idx="2">
                  <c:v>3.4615384615384617</c:v>
                </c:pt>
                <c:pt idx="3">
                  <c:v>3.4615384615384617</c:v>
                </c:pt>
                <c:pt idx="4">
                  <c:v>3.4615384615384617</c:v>
                </c:pt>
                <c:pt idx="5">
                  <c:v>3.4615384615384617</c:v>
                </c:pt>
                <c:pt idx="6">
                  <c:v>3.4615384615384617</c:v>
                </c:pt>
                <c:pt idx="7">
                  <c:v>3.4615384615384617</c:v>
                </c:pt>
                <c:pt idx="8">
                  <c:v>3.4615384615384617</c:v>
                </c:pt>
                <c:pt idx="9">
                  <c:v>3.4615384615384617</c:v>
                </c:pt>
                <c:pt idx="10">
                  <c:v>3.4615384615384617</c:v>
                </c:pt>
                <c:pt idx="11">
                  <c:v>3.4615384615384617</c:v>
                </c:pt>
                <c:pt idx="12">
                  <c:v>3.4615384615384617</c:v>
                </c:pt>
                <c:pt idx="13">
                  <c:v>3.4615384615384617</c:v>
                </c:pt>
                <c:pt idx="14">
                  <c:v>3.4615384615384617</c:v>
                </c:pt>
                <c:pt idx="15">
                  <c:v>3.4615384615384617</c:v>
                </c:pt>
                <c:pt idx="16">
                  <c:v>3.4615384615384617</c:v>
                </c:pt>
                <c:pt idx="17">
                  <c:v>3.4615384615384617</c:v>
                </c:pt>
                <c:pt idx="18">
                  <c:v>3.4615384615384617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Graficos!$AQ$1</c15:f>
                <c15:dlblRangeCache>
                  <c:ptCount val="1"/>
                  <c:pt idx="0">
                    <c:v>R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6310-446A-B6E7-26593D39CF95}"/>
            </c:ext>
          </c:extLst>
        </c:ser>
        <c:ser>
          <c:idx val="2"/>
          <c:order val="2"/>
          <c:tx>
            <c:strRef>
              <c:f>Graficos!$AR$1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5.5555555555555558E-3"/>
                  <c:y val="-2.777777777777777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3CC1EC7-B0A9-4C6B-8507-E60EFFB1BEBE}" type="CELLRANGE">
                      <a:rPr lang="en-US" b="1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pPr>
                        <a:defRPr b="1"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[CELLRANGE]</a:t>
                    </a:fld>
                    <a:endParaRPr lang="es-AR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AR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6310-446A-B6E7-26593D39CF9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6310-446A-B6E7-26593D39CF9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10-446A-B6E7-26593D39CF9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6310-446A-B6E7-26593D39CF9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6310-446A-B6E7-26593D39CF9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6310-446A-B6E7-26593D39CF9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6310-446A-B6E7-26593D39CF9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6310-446A-B6E7-26593D39CF9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6310-446A-B6E7-26593D39CF9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6310-446A-B6E7-26593D39CF9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6310-446A-B6E7-26593D39CF9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6310-446A-B6E7-26593D39CF9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6310-446A-B6E7-26593D39CF9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6310-446A-B6E7-26593D39CF9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6310-446A-B6E7-26593D39CF9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6310-446A-B6E7-26593D39CF9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6310-446A-B6E7-26593D39CF9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6310-446A-B6E7-26593D39CF9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6310-446A-B6E7-26593D39CF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Graficos!$AO$2:$AO$20</c:f>
              <c:numCache>
                <c:formatCode>0.00</c:formatCode>
                <c:ptCount val="19"/>
                <c:pt idx="0">
                  <c:v>0</c:v>
                </c:pt>
                <c:pt idx="1">
                  <c:v>0.41110071368116596</c:v>
                </c:pt>
                <c:pt idx="2">
                  <c:v>0.43033148291193518</c:v>
                </c:pt>
                <c:pt idx="3">
                  <c:v>0.43033148291193518</c:v>
                </c:pt>
                <c:pt idx="4">
                  <c:v>0.84143219659310109</c:v>
                </c:pt>
                <c:pt idx="5">
                  <c:v>0.86066296582387036</c:v>
                </c:pt>
                <c:pt idx="6">
                  <c:v>0.86066296582387036</c:v>
                </c:pt>
                <c:pt idx="7">
                  <c:v>1.2717636795050362</c:v>
                </c:pt>
                <c:pt idx="8">
                  <c:v>1.2909944487358056</c:v>
                </c:pt>
                <c:pt idx="9">
                  <c:v>1.2909944487358056</c:v>
                </c:pt>
                <c:pt idx="10">
                  <c:v>1.7020951624169716</c:v>
                </c:pt>
                <c:pt idx="11">
                  <c:v>1.7213259316477407</c:v>
                </c:pt>
                <c:pt idx="12">
                  <c:v>1.7213259316477407</c:v>
                </c:pt>
                <c:pt idx="13">
                  <c:v>2.1324266453289065</c:v>
                </c:pt>
                <c:pt idx="14">
                  <c:v>2.1516574145596761</c:v>
                </c:pt>
                <c:pt idx="15">
                  <c:v>2.1516574145596761</c:v>
                </c:pt>
                <c:pt idx="16">
                  <c:v>2.562758128240842</c:v>
                </c:pt>
                <c:pt idx="17">
                  <c:v>2.5819888974716112</c:v>
                </c:pt>
                <c:pt idx="18">
                  <c:v>2.5819888974716112</c:v>
                </c:pt>
              </c:numCache>
            </c:numRef>
          </c:xVal>
          <c:yVal>
            <c:numRef>
              <c:f>Graficos!$AR$2:$AR$20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Graficos!$AR$1</c15:f>
                <c15:dlblRangeCache>
                  <c:ptCount val="1"/>
                </c15:dlblRangeCache>
              </c15:datalabelsRange>
            </c:ext>
            <c:ext xmlns:c16="http://schemas.microsoft.com/office/drawing/2014/chart" uri="{C3380CC4-5D6E-409C-BE32-E72D297353CC}">
              <c16:uniqueId val="{00000002-6310-446A-B6E7-26593D39CF95}"/>
            </c:ext>
          </c:extLst>
        </c:ser>
        <c:ser>
          <c:idx val="3"/>
          <c:order val="3"/>
          <c:tx>
            <c:strRef>
              <c:f>Graficos!$AS$1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0"/>
                  <c:y val="-4.629629629629629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2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647C3EF-489A-41A6-86F8-9D9065EB9F7E}" type="CELLRANGE">
                      <a:rPr lang="en-US" b="1">
                        <a:solidFill>
                          <a:schemeClr val="tx2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b="1">
                          <a:solidFill>
                            <a:schemeClr val="tx2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t>[CELLRANGE]</a:t>
                    </a:fld>
                    <a:endParaRPr lang="es-AR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2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AR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6310-446A-B6E7-26593D39CF9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6310-446A-B6E7-26593D39CF9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10-446A-B6E7-26593D39CF9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6310-446A-B6E7-26593D39CF9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6310-446A-B6E7-26593D39CF9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6310-446A-B6E7-26593D39CF9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6310-446A-B6E7-26593D39CF9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6310-446A-B6E7-26593D39CF9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6310-446A-B6E7-26593D39CF9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6310-446A-B6E7-26593D39CF9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6310-446A-B6E7-26593D39CF9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6310-446A-B6E7-26593D39CF9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6310-446A-B6E7-26593D39CF9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6310-446A-B6E7-26593D39CF9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6310-446A-B6E7-26593D39CF9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6310-446A-B6E7-26593D39CF9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6310-446A-B6E7-26593D39CF9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6310-446A-B6E7-26593D39CF9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6310-446A-B6E7-26593D39CF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Graficos!$AO$2:$AO$20</c:f>
              <c:numCache>
                <c:formatCode>0.00</c:formatCode>
                <c:ptCount val="19"/>
                <c:pt idx="0">
                  <c:v>0</c:v>
                </c:pt>
                <c:pt idx="1">
                  <c:v>0.41110071368116596</c:v>
                </c:pt>
                <c:pt idx="2">
                  <c:v>0.43033148291193518</c:v>
                </c:pt>
                <c:pt idx="3">
                  <c:v>0.43033148291193518</c:v>
                </c:pt>
                <c:pt idx="4">
                  <c:v>0.84143219659310109</c:v>
                </c:pt>
                <c:pt idx="5">
                  <c:v>0.86066296582387036</c:v>
                </c:pt>
                <c:pt idx="6">
                  <c:v>0.86066296582387036</c:v>
                </c:pt>
                <c:pt idx="7">
                  <c:v>1.2717636795050362</c:v>
                </c:pt>
                <c:pt idx="8">
                  <c:v>1.2909944487358056</c:v>
                </c:pt>
                <c:pt idx="9">
                  <c:v>1.2909944487358056</c:v>
                </c:pt>
                <c:pt idx="10">
                  <c:v>1.7020951624169716</c:v>
                </c:pt>
                <c:pt idx="11">
                  <c:v>1.7213259316477407</c:v>
                </c:pt>
                <c:pt idx="12">
                  <c:v>1.7213259316477407</c:v>
                </c:pt>
                <c:pt idx="13">
                  <c:v>2.1324266453289065</c:v>
                </c:pt>
                <c:pt idx="14">
                  <c:v>2.1516574145596761</c:v>
                </c:pt>
                <c:pt idx="15">
                  <c:v>2.1516574145596761</c:v>
                </c:pt>
                <c:pt idx="16">
                  <c:v>2.562758128240842</c:v>
                </c:pt>
                <c:pt idx="17">
                  <c:v>2.5819888974716112</c:v>
                </c:pt>
                <c:pt idx="18">
                  <c:v>2.5819888974716112</c:v>
                </c:pt>
              </c:numCache>
            </c:numRef>
          </c:xVal>
          <c:yVal>
            <c:numRef>
              <c:f>Graficos!$AS$2:$AS$20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Graficos!$AS$1</c15:f>
                <c15:dlblRangeCache>
                  <c:ptCount val="1"/>
                </c15:dlblRangeCache>
              </c15:datalabelsRange>
            </c:ext>
            <c:ext xmlns:c16="http://schemas.microsoft.com/office/drawing/2014/chart" uri="{C3380CC4-5D6E-409C-BE32-E72D297353CC}">
              <c16:uniqueId val="{00000003-6310-446A-B6E7-26593D39C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381176"/>
        <c:axId val="931379376"/>
      </c:scatterChart>
      <c:valAx>
        <c:axId val="931381176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931379376"/>
        <c:crosses val="autoZero"/>
        <c:crossBetween val="midCat"/>
      </c:valAx>
      <c:valAx>
        <c:axId val="93137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931381176"/>
        <c:crosses val="autoZero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447676</xdr:colOff>
      <xdr:row>17</xdr:row>
      <xdr:rowOff>95763</xdr:rowOff>
    </xdr:from>
    <xdr:to>
      <xdr:col>7</xdr:col>
      <xdr:colOff>409575</xdr:colOff>
      <xdr:row>22</xdr:row>
      <xdr:rowOff>152869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1AE159-AF02-26FC-87D5-EA1DC4B82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8626" y="3229488"/>
          <a:ext cx="1724024" cy="93340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171447</xdr:rowOff>
    </xdr:from>
    <xdr:to>
      <xdr:col>5</xdr:col>
      <xdr:colOff>38100</xdr:colOff>
      <xdr:row>17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6CFE6B2-3458-AA2D-AF24-68C201E51B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161925</xdr:colOff>
      <xdr:row>17</xdr:row>
      <xdr:rowOff>95250</xdr:rowOff>
    </xdr:from>
    <xdr:to>
      <xdr:col>11</xdr:col>
      <xdr:colOff>371475</xdr:colOff>
      <xdr:row>32</xdr:row>
      <xdr:rowOff>95250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35AD954A-0BDE-6972-4261-24B3DF8B85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142875</xdr:colOff>
      <xdr:row>0</xdr:row>
      <xdr:rowOff>195262</xdr:rowOff>
    </xdr:from>
    <xdr:to>
      <xdr:col>11</xdr:col>
      <xdr:colOff>361950</xdr:colOff>
      <xdr:row>17</xdr:row>
      <xdr:rowOff>47625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CA3BD724-9FCB-075A-24BF-CA9F498B5A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28575</xdr:colOff>
      <xdr:row>17</xdr:row>
      <xdr:rowOff>104774</xdr:rowOff>
    </xdr:from>
    <xdr:to>
      <xdr:col>5</xdr:col>
      <xdr:colOff>56959</xdr:colOff>
      <xdr:row>32</xdr:row>
      <xdr:rowOff>38099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F342ABF-C2CC-48D1-E7FA-41D05899F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" y="3352799"/>
          <a:ext cx="3838384" cy="279082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434E4-BB2A-45B2-8675-F8BC9ABFDFF2}">
  <sheetPr>
    <tabColor rgb="FF00B0F0"/>
  </sheetPr>
  <dimension ref="A1:R126"/>
  <sheetViews>
    <sheetView showGridLines="0" tabSelected="1" workbookViewId="0">
      <selection activeCell="D2" sqref="D2"/>
    </sheetView>
  </sheetViews>
  <sheetFormatPr baseColWidth="10" defaultRowHeight="13.5" x14ac:dyDescent="0.25"/>
  <cols>
    <col min="1" max="1" width="2.28515625" style="3" customWidth="1"/>
    <col min="2" max="2" width="14" style="3" bestFit="1" customWidth="1"/>
    <col min="3" max="3" width="11.42578125" style="3" bestFit="1" customWidth="1"/>
    <col min="4" max="5" width="14.5703125" style="3" bestFit="1" customWidth="1"/>
    <col min="6" max="6" width="15" style="3" customWidth="1"/>
    <col min="7" max="7" width="11.42578125" style="3"/>
    <col min="8" max="8" width="14" style="3" customWidth="1"/>
    <col min="9" max="9" width="11.42578125" style="3"/>
    <col min="10" max="10" width="2.7109375" style="3" customWidth="1"/>
    <col min="11" max="12" width="11.42578125" style="3"/>
    <col min="13" max="13" width="12.5703125" style="3" customWidth="1"/>
    <col min="14" max="14" width="12.42578125" style="3" bestFit="1" customWidth="1"/>
    <col min="15" max="15" width="11.42578125" style="3"/>
    <col min="16" max="16" width="4.140625" style="3" customWidth="1"/>
    <col min="17" max="16384" width="11.42578125" style="3"/>
  </cols>
  <sheetData>
    <row r="1" spans="2:18" ht="15.75" thickBot="1" x14ac:dyDescent="0.3">
      <c r="B1" s="84" t="s">
        <v>0</v>
      </c>
      <c r="C1" s="84"/>
      <c r="D1" s="84"/>
      <c r="E1" s="84"/>
      <c r="F1" s="85" t="s">
        <v>53</v>
      </c>
      <c r="G1" s="86"/>
      <c r="H1" s="86"/>
      <c r="I1" s="87"/>
      <c r="J1" s="19"/>
      <c r="K1" s="78" t="s">
        <v>85</v>
      </c>
      <c r="L1" s="79"/>
      <c r="M1" s="79"/>
      <c r="N1" s="79"/>
      <c r="O1" s="79"/>
      <c r="P1" s="80"/>
    </row>
    <row r="2" spans="2:18" ht="15.75" thickBot="1" x14ac:dyDescent="0.3">
      <c r="B2" s="7" t="s">
        <v>1</v>
      </c>
      <c r="C2" s="25" t="str">
        <f>IF(D2="EOQ","EOQ",IF(D2="POQ","POQ","Probabilistico"))</f>
        <v>EOQ</v>
      </c>
      <c r="D2" s="41" t="s">
        <v>30</v>
      </c>
      <c r="E2" s="18" t="s">
        <v>122</v>
      </c>
      <c r="F2" s="69" t="str">
        <f>IF(modelo="EOQ","EOQ",IF(modelo="POQ","POQ",IF(Revision=" Continua","Probabilística Revisión Continua",IF(Revision="Canillita","Problema de demanda periódica (del Canillita)","Probabilística Revisión Periódica"))))</f>
        <v>EOQ</v>
      </c>
      <c r="G2" s="70"/>
      <c r="H2" s="70"/>
      <c r="I2" s="71"/>
      <c r="J2" s="68"/>
      <c r="K2" s="75" t="str">
        <f>IF(modelo="Probabilistico","","ANALISIS DE CANTIDADES ENTERAS")</f>
        <v>ANALISIS DE CANTIDADES ENTERAS</v>
      </c>
      <c r="L2" s="76"/>
      <c r="M2" s="76"/>
      <c r="N2" s="76"/>
      <c r="O2" s="76"/>
      <c r="P2" s="81"/>
      <c r="Q2" s="73" t="str">
        <f>IF(Revision="Periódica","Análisis de sensibilidad en rev.per.","")</f>
        <v/>
      </c>
      <c r="R2" s="74"/>
    </row>
    <row r="3" spans="2:18" x14ac:dyDescent="0.25">
      <c r="B3" s="7" t="s">
        <v>2</v>
      </c>
      <c r="C3" s="7" t="str">
        <f>IF(OR(C2="EOQ",C2="POQ"),"Deterministica",IF(D2="Periodo simple","Canillita",RIGHT(D2,9)))</f>
        <v>Deterministica</v>
      </c>
      <c r="D3" s="29"/>
      <c r="F3" s="18" t="str" cm="1">
        <f t="array" ref="F3:I11">_xlfn._xlws.FILTER($F$100:$I$123,$J$100:$J$123&lt;&gt;"")</f>
        <v>Cantidad a pedir</v>
      </c>
      <c r="G3" s="40" t="str">
        <v>Q</v>
      </c>
      <c r="H3" s="31">
        <v>77.459666924148337</v>
      </c>
      <c r="I3" s="3" t="str">
        <v>unidades/pedido</v>
      </c>
      <c r="J3" s="51"/>
      <c r="K3" s="24" t="s">
        <v>86</v>
      </c>
      <c r="L3" s="4"/>
      <c r="M3" s="4"/>
      <c r="N3" s="92" t="s">
        <v>111</v>
      </c>
      <c r="Q3" s="8" t="str">
        <f>IF(Revision="Periódica","I encontrado","")</f>
        <v/>
      </c>
      <c r="R3" s="8" t="str">
        <f>IF(Revision="Periódica","q optimo","")</f>
        <v/>
      </c>
    </row>
    <row r="4" spans="2:18" ht="15" x14ac:dyDescent="0.25">
      <c r="B4" s="7" t="s">
        <v>3</v>
      </c>
      <c r="C4" s="8" t="s">
        <v>16</v>
      </c>
      <c r="D4" s="41" t="s">
        <v>32</v>
      </c>
      <c r="E4" s="3" t="str">
        <f>D4</f>
        <v>año</v>
      </c>
      <c r="F4" s="18" t="str">
        <v>Ordenes en esp</v>
      </c>
      <c r="G4" s="19" t="str">
        <v>L/T</v>
      </c>
      <c r="H4" s="23">
        <v>4.4688269379316352E-2</v>
      </c>
      <c r="I4" s="3" t="str">
        <v>unidades</v>
      </c>
      <c r="J4" s="51"/>
      <c r="K4" s="15" t="s">
        <v>90</v>
      </c>
      <c r="L4" s="8" t="s">
        <v>91</v>
      </c>
      <c r="M4" s="16" t="s">
        <v>92</v>
      </c>
      <c r="N4" s="93" t="s">
        <v>93</v>
      </c>
      <c r="P4" s="53"/>
      <c r="Q4" s="50" t="str">
        <f t="shared" ref="Q4:Q11" si="0">IF(Revision="Periódica",IF(OR(Q5-1&lt;=0,Q5=""),0,Q5-1),"")</f>
        <v/>
      </c>
      <c r="R4" s="54" t="str">
        <f t="shared" ref="R4:R22" si="1">IF(Revision="periódica",_xlfn.NORM.INV(alfa,mutemasele,sigmatemasele)-Q4+espera,"")</f>
        <v/>
      </c>
    </row>
    <row r="5" spans="2:18" ht="15" x14ac:dyDescent="0.25">
      <c r="B5" s="7" t="s">
        <v>4</v>
      </c>
      <c r="C5" s="8" t="s">
        <v>17</v>
      </c>
      <c r="D5" s="41">
        <v>180</v>
      </c>
      <c r="E5" s="3" t="str">
        <f>"Unidades/"&amp;udet</f>
        <v>Unidades/año</v>
      </c>
      <c r="F5" s="18" t="str">
        <v>Ped/año</v>
      </c>
      <c r="G5" s="19" t="str">
        <v>n</v>
      </c>
      <c r="H5" s="23">
        <v>2.3237900077244502</v>
      </c>
      <c r="I5" s="3" t="str">
        <v>pedidos</v>
      </c>
      <c r="K5" s="23">
        <f>Qop</f>
        <v>77.459666924148337</v>
      </c>
      <c r="L5" s="26">
        <f>ROUNDDOWN(K5,0)</f>
        <v>77</v>
      </c>
      <c r="M5" s="26">
        <f>ROUNDUP(K5,0)+D12</f>
        <v>79</v>
      </c>
      <c r="N5" s="94">
        <f>IF(L9=M9,"Indist.",IF(L9=N9,L5,M5))</f>
        <v>77</v>
      </c>
      <c r="O5" s="23"/>
      <c r="P5" s="53"/>
      <c r="Q5" s="50" t="str">
        <f t="shared" si="0"/>
        <v/>
      </c>
      <c r="R5" s="54" t="str">
        <f t="shared" si="1"/>
        <v/>
      </c>
    </row>
    <row r="6" spans="2:18" ht="15" customHeight="1" x14ac:dyDescent="0.25">
      <c r="B6" s="7" t="s">
        <v>5</v>
      </c>
      <c r="C6" s="8" t="s">
        <v>18</v>
      </c>
      <c r="D6" s="41">
        <v>900</v>
      </c>
      <c r="E6" s="3" t="str">
        <f>"Unidades/"&amp;udet</f>
        <v>Unidades/año</v>
      </c>
      <c r="F6" s="18" t="str">
        <v>Ciclo</v>
      </c>
      <c r="G6" s="19" t="str">
        <v>T</v>
      </c>
      <c r="H6" s="23">
        <v>0.43033148291193518</v>
      </c>
      <c r="I6" s="3" t="str">
        <v>año</v>
      </c>
      <c r="K6" s="88" t="s">
        <v>94</v>
      </c>
      <c r="L6" s="88"/>
      <c r="M6" s="88"/>
      <c r="N6" s="88"/>
      <c r="P6" s="54"/>
      <c r="Q6" s="50" t="str">
        <f t="shared" si="0"/>
        <v/>
      </c>
      <c r="R6" s="54" t="str">
        <f t="shared" si="1"/>
        <v/>
      </c>
    </row>
    <row r="7" spans="2:18" ht="15" x14ac:dyDescent="0.25">
      <c r="B7" s="7" t="s">
        <v>6</v>
      </c>
      <c r="C7" s="8" t="s">
        <v>20</v>
      </c>
      <c r="D7" s="41">
        <v>20</v>
      </c>
      <c r="E7" s="3" t="s">
        <v>42</v>
      </c>
      <c r="F7" s="18" t="str">
        <v>PuntoRep</v>
      </c>
      <c r="G7" s="19" t="str">
        <v>R</v>
      </c>
      <c r="H7" s="23">
        <v>3.4615384615384617</v>
      </c>
      <c r="I7" s="3" t="str">
        <v>unidades</v>
      </c>
      <c r="K7" s="7" t="s">
        <v>95</v>
      </c>
      <c r="L7" s="90">
        <f>Ka*Dem/L5</f>
        <v>233.76623376623377</v>
      </c>
      <c r="M7" s="90">
        <f>Ka*Dem/M5</f>
        <v>227.84810126582278</v>
      </c>
      <c r="N7" s="95"/>
      <c r="P7" s="53"/>
      <c r="Q7" s="50" t="str">
        <f t="shared" si="0"/>
        <v/>
      </c>
      <c r="R7" s="54" t="str">
        <f t="shared" si="1"/>
        <v/>
      </c>
    </row>
    <row r="8" spans="2:18" ht="15" x14ac:dyDescent="0.25">
      <c r="B8" s="7" t="s">
        <v>7</v>
      </c>
      <c r="C8" s="8" t="s">
        <v>19</v>
      </c>
      <c r="D8" s="42">
        <v>1.9230769230769232E-2</v>
      </c>
      <c r="E8" s="3" t="str">
        <f>udet</f>
        <v>año</v>
      </c>
      <c r="F8" s="18" t="str">
        <v>Costo admin</v>
      </c>
      <c r="G8" s="19" t="str">
        <v>AD</v>
      </c>
      <c r="H8" s="23">
        <v>232.37900077244501</v>
      </c>
      <c r="I8" s="3" t="str">
        <v>$/año</v>
      </c>
      <c r="J8" s="51"/>
      <c r="K8" s="7" t="s">
        <v>96</v>
      </c>
      <c r="L8" s="90">
        <f>int*Costo*L5/2*IF(modelo="POQ",(Prod-Dem)/Prod,1)</f>
        <v>231</v>
      </c>
      <c r="M8" s="90">
        <f>int*Costo*M5/2*IF(modelo="POQ",(Prod-Dem)/Prod,1)</f>
        <v>237</v>
      </c>
      <c r="N8" s="96"/>
      <c r="P8" s="53"/>
      <c r="Q8" s="50" t="str">
        <f t="shared" si="0"/>
        <v/>
      </c>
      <c r="R8" s="54" t="str">
        <f t="shared" si="1"/>
        <v/>
      </c>
    </row>
    <row r="9" spans="2:18" ht="15.75" thickBot="1" x14ac:dyDescent="0.3">
      <c r="B9" s="7" t="s">
        <v>8</v>
      </c>
      <c r="C9" s="8" t="s">
        <v>22</v>
      </c>
      <c r="D9" s="41">
        <v>100</v>
      </c>
      <c r="E9" s="3" t="s">
        <v>43</v>
      </c>
      <c r="F9" s="18" t="str">
        <v>Costo almac</v>
      </c>
      <c r="G9" s="61" t="str">
        <v>AL</v>
      </c>
      <c r="H9" s="62">
        <v>232.37900077244501</v>
      </c>
      <c r="I9" s="3" t="str">
        <v>$/año</v>
      </c>
      <c r="J9" s="51"/>
      <c r="K9" s="14" t="s">
        <v>97</v>
      </c>
      <c r="L9" s="91">
        <f>SUM(L7:L8)</f>
        <v>464.76623376623377</v>
      </c>
      <c r="M9" s="91">
        <f>SUM(M7:M8)</f>
        <v>464.84810126582278</v>
      </c>
      <c r="N9" s="97">
        <f>MIN(L9:M9)</f>
        <v>464.76623376623377</v>
      </c>
      <c r="P9" s="53"/>
      <c r="Q9" s="50" t="str">
        <f t="shared" si="0"/>
        <v/>
      </c>
      <c r="R9" s="54" t="str">
        <f t="shared" si="1"/>
        <v/>
      </c>
    </row>
    <row r="10" spans="2:18" ht="15" customHeight="1" thickBot="1" x14ac:dyDescent="0.3">
      <c r="B10" s="7" t="s">
        <v>9</v>
      </c>
      <c r="C10" s="8" t="s">
        <v>23</v>
      </c>
      <c r="D10" s="43">
        <v>0.3</v>
      </c>
      <c r="E10" s="3" t="str">
        <f>"% /"&amp;udet</f>
        <v>% /año</v>
      </c>
      <c r="F10" s="18" t="str">
        <v>Costo merca</v>
      </c>
      <c r="G10" s="19" t="str">
        <v>CM</v>
      </c>
      <c r="H10" s="23">
        <v>3600</v>
      </c>
      <c r="I10" s="3" t="str">
        <v>$/año</v>
      </c>
      <c r="J10" s="51"/>
      <c r="K10" s="75" t="str">
        <f>"ANALISIS DEL PROBLEMA DEL CANILLITA"&amp;IF(C3="Canillita",""," - (No habilitado en este modelo)")</f>
        <v>ANALISIS DEL PROBLEMA DEL CANILLITA - (No habilitado en este modelo)</v>
      </c>
      <c r="L10" s="76"/>
      <c r="M10" s="76"/>
      <c r="N10" s="76"/>
      <c r="O10" s="76"/>
      <c r="P10" s="77"/>
      <c r="Q10" s="50" t="str">
        <f t="shared" si="0"/>
        <v/>
      </c>
      <c r="R10" s="54" t="str">
        <f t="shared" si="1"/>
        <v/>
      </c>
    </row>
    <row r="11" spans="2:18" ht="15" x14ac:dyDescent="0.25">
      <c r="B11" s="7" t="s">
        <v>28</v>
      </c>
      <c r="C11" s="8" t="s">
        <v>29</v>
      </c>
      <c r="D11" s="29">
        <f>IFERROR(IF(int*Costo=0,1,int*Costo),"")</f>
        <v>6</v>
      </c>
      <c r="E11" s="3" t="s">
        <v>116</v>
      </c>
      <c r="F11" s="18" t="str">
        <v>Costo total</v>
      </c>
      <c r="G11" s="19" t="str">
        <v>CT</v>
      </c>
      <c r="H11" s="23">
        <v>4064.7580015448902</v>
      </c>
      <c r="I11" s="3" t="str">
        <v>$/año</v>
      </c>
      <c r="J11" s="51"/>
      <c r="K11" s="19" t="s">
        <v>161</v>
      </c>
      <c r="L11" s="19" t="s">
        <v>54</v>
      </c>
      <c r="M11" s="18" t="str">
        <f>IF(Revision="Canillita",QoptCACA,"")</f>
        <v/>
      </c>
      <c r="N11" s="39">
        <f>C16</f>
        <v>50</v>
      </c>
      <c r="P11" s="53"/>
      <c r="Q11" s="55" t="str">
        <f t="shared" si="0"/>
        <v/>
      </c>
      <c r="R11" s="54" t="str">
        <f t="shared" si="1"/>
        <v/>
      </c>
    </row>
    <row r="12" spans="2:18" x14ac:dyDescent="0.25">
      <c r="B12" s="7" t="str">
        <f>IF(modelo="Probabilistico","","lote mínimo")</f>
        <v>lote mínimo</v>
      </c>
      <c r="C12" s="8"/>
      <c r="D12" s="41">
        <v>1</v>
      </c>
      <c r="E12" s="3" t="s">
        <v>44</v>
      </c>
      <c r="F12" s="18"/>
      <c r="G12" s="19"/>
      <c r="H12" s="23"/>
      <c r="J12" s="51"/>
      <c r="K12" s="18" t="s">
        <v>87</v>
      </c>
      <c r="L12" s="19" t="s">
        <v>206</v>
      </c>
      <c r="M12" s="32">
        <f>newalfa</f>
        <v>0.83333333333333337</v>
      </c>
      <c r="N12" s="39">
        <f>C17</f>
        <v>10</v>
      </c>
      <c r="P12" s="54"/>
      <c r="Q12" s="56" t="str">
        <f>IF(Revision="periódica",Exist,"")</f>
        <v/>
      </c>
      <c r="R12" s="34" t="str">
        <f t="shared" si="1"/>
        <v/>
      </c>
    </row>
    <row r="13" spans="2:18" x14ac:dyDescent="0.25">
      <c r="B13" s="7" t="s">
        <v>11</v>
      </c>
      <c r="C13" s="8" t="s">
        <v>47</v>
      </c>
      <c r="D13" s="29" t="str">
        <f>IF(modelo="Probabilistico",Dem,"")</f>
        <v/>
      </c>
      <c r="E13" s="3" t="str">
        <f>IF(mu&lt;&gt;"","uu (no completar)","")</f>
        <v/>
      </c>
      <c r="F13" s="18"/>
      <c r="G13" s="19"/>
      <c r="H13" s="23"/>
      <c r="J13" s="51"/>
      <c r="K13" s="18" t="s">
        <v>137</v>
      </c>
      <c r="L13" s="19" t="s">
        <v>138</v>
      </c>
      <c r="M13" s="32" t="str">
        <f>Imax</f>
        <v/>
      </c>
      <c r="N13" s="39">
        <f>C18</f>
        <v>20</v>
      </c>
      <c r="P13" s="54"/>
      <c r="Q13" s="52" t="str">
        <f t="shared" ref="Q13:Q22" si="2">IF(Revision="periódica",Q12+1,"")</f>
        <v/>
      </c>
      <c r="R13" s="54" t="str">
        <f t="shared" si="1"/>
        <v/>
      </c>
    </row>
    <row r="14" spans="2:18" x14ac:dyDescent="0.25">
      <c r="B14" s="7" t="s">
        <v>12</v>
      </c>
      <c r="C14" s="8" t="s">
        <v>24</v>
      </c>
      <c r="D14" s="41">
        <v>30</v>
      </c>
      <c r="F14" s="18"/>
      <c r="G14" s="40"/>
      <c r="H14" s="23"/>
      <c r="K14" s="18" t="s">
        <v>139</v>
      </c>
      <c r="L14" s="19" t="s">
        <v>128</v>
      </c>
      <c r="M14" s="32" t="e">
        <f>Smax</f>
        <v>#VALUE!</v>
      </c>
      <c r="N14" s="4"/>
      <c r="O14" s="4"/>
      <c r="P14" s="33"/>
      <c r="Q14" s="52" t="str">
        <f t="shared" si="2"/>
        <v/>
      </c>
      <c r="R14" s="54" t="str">
        <f t="shared" si="1"/>
        <v/>
      </c>
    </row>
    <row r="15" spans="2:18" x14ac:dyDescent="0.25">
      <c r="B15" s="7" t="s">
        <v>160</v>
      </c>
      <c r="C15" s="10" t="s">
        <v>25</v>
      </c>
      <c r="D15" s="43">
        <v>0.95</v>
      </c>
      <c r="E15" s="3" t="s">
        <v>45</v>
      </c>
      <c r="F15" s="18"/>
      <c r="G15" s="40"/>
      <c r="H15" s="23"/>
      <c r="K15" s="18" t="s">
        <v>159</v>
      </c>
      <c r="L15" s="19" t="s">
        <v>79</v>
      </c>
      <c r="M15" s="32" t="e">
        <f>QopCan*Costo</f>
        <v>#VALUE!</v>
      </c>
      <c r="P15" s="54"/>
      <c r="Q15" s="52" t="str">
        <f t="shared" si="2"/>
        <v/>
      </c>
      <c r="R15" s="54" t="str">
        <f t="shared" si="1"/>
        <v/>
      </c>
    </row>
    <row r="16" spans="2:18" x14ac:dyDescent="0.25">
      <c r="B16" s="7" t="str">
        <f>IF(Revision="Canillita","Precio Venta Pv",IF(Revision="Periódica","Períod. revisión T"," "))</f>
        <v xml:space="preserve"> </v>
      </c>
      <c r="C16" s="48">
        <v>50</v>
      </c>
      <c r="D16" s="41">
        <f>4/52</f>
        <v>7.6923076923076927E-2</v>
      </c>
      <c r="E16" s="3" t="str">
        <f>IF(Revision="Canillita","$/u",udet)</f>
        <v>año</v>
      </c>
      <c r="F16" s="18"/>
      <c r="G16" s="19"/>
      <c r="H16" s="23"/>
      <c r="J16" s="51"/>
      <c r="K16" s="18" t="s">
        <v>162</v>
      </c>
      <c r="L16" s="19" t="s">
        <v>26</v>
      </c>
      <c r="M16" s="32" t="e">
        <f>Durac</f>
        <v>#VALUE!</v>
      </c>
      <c r="N16" s="3" t="str">
        <f>D4</f>
        <v>año</v>
      </c>
      <c r="P16" s="54"/>
      <c r="Q16" s="52" t="str">
        <f t="shared" si="2"/>
        <v/>
      </c>
      <c r="R16" s="54" t="str">
        <f t="shared" si="1"/>
        <v/>
      </c>
    </row>
    <row r="17" spans="1:18" x14ac:dyDescent="0.25">
      <c r="B17" s="7" t="str">
        <f>IF(Revision="Canillita","$ Remanente v",IF(Revision="Periódica","Nivel de Inv. I",""))</f>
        <v/>
      </c>
      <c r="C17" s="49">
        <v>10</v>
      </c>
      <c r="D17" s="41">
        <v>4</v>
      </c>
      <c r="E17" s="3" t="str">
        <f>IF(Revision="Canillita","$/u","unidades")</f>
        <v>unidades</v>
      </c>
      <c r="F17" s="18"/>
      <c r="G17" s="19"/>
      <c r="H17" s="23"/>
      <c r="J17" s="51"/>
      <c r="K17" s="18" t="s">
        <v>141</v>
      </c>
      <c r="L17" s="18"/>
      <c r="M17" s="32" t="e">
        <f>TpoPos</f>
        <v>#VALUE!</v>
      </c>
      <c r="N17" s="3" t="str">
        <f>D4</f>
        <v>año</v>
      </c>
      <c r="P17" s="54"/>
      <c r="Q17" s="52" t="str">
        <f t="shared" si="2"/>
        <v/>
      </c>
      <c r="R17" s="54" t="str">
        <f t="shared" si="1"/>
        <v/>
      </c>
    </row>
    <row r="18" spans="1:18" x14ac:dyDescent="0.25">
      <c r="B18" s="7" t="str">
        <f>IF(Revision="Canillita","Multa por falta M","Cantidad en viaje")</f>
        <v>Cantidad en viaje</v>
      </c>
      <c r="C18" s="49">
        <v>20</v>
      </c>
      <c r="D18" s="41"/>
      <c r="E18" s="3" t="str">
        <f>IF(Revision="Canillita","$/u","unidades")</f>
        <v>unidades</v>
      </c>
      <c r="F18" s="18"/>
      <c r="G18" s="4"/>
      <c r="H18" s="23"/>
      <c r="J18" s="51"/>
      <c r="K18" s="18" t="s">
        <v>140</v>
      </c>
      <c r="L18" s="18"/>
      <c r="M18" s="32" t="e">
        <f>TpoNeg</f>
        <v>#VALUE!</v>
      </c>
      <c r="N18" s="3" t="str">
        <f>D4</f>
        <v>año</v>
      </c>
      <c r="O18" s="30"/>
      <c r="P18" s="54"/>
      <c r="Q18" s="52" t="str">
        <f t="shared" si="2"/>
        <v/>
      </c>
      <c r="R18" s="54" t="str">
        <f t="shared" si="1"/>
        <v/>
      </c>
    </row>
    <row r="19" spans="1:18" ht="14.25" thickBot="1" x14ac:dyDescent="0.3">
      <c r="B19" s="82" t="s">
        <v>48</v>
      </c>
      <c r="C19" s="82"/>
      <c r="D19" s="44" t="b">
        <v>0</v>
      </c>
      <c r="F19" s="18"/>
      <c r="G19" s="5"/>
      <c r="H19" s="31"/>
      <c r="J19" s="51"/>
      <c r="K19" s="72"/>
      <c r="L19" s="72"/>
      <c r="P19" s="54"/>
      <c r="Q19" s="52" t="str">
        <f t="shared" si="2"/>
        <v/>
      </c>
      <c r="R19" s="54" t="str">
        <f t="shared" si="1"/>
        <v/>
      </c>
    </row>
    <row r="20" spans="1:18" ht="14.25" thickBot="1" x14ac:dyDescent="0.3">
      <c r="B20" s="83" t="s">
        <v>142</v>
      </c>
      <c r="C20" s="83"/>
      <c r="D20" s="47">
        <v>3</v>
      </c>
      <c r="F20" s="18"/>
      <c r="G20" s="4"/>
      <c r="H20" s="31"/>
      <c r="K20" s="75" t="str">
        <f>IFERROR(IF(D19=TRUE,"ANALISIS DE DESCUENTOS, Q*= "&amp;TEXT(Hoja2!X21," #")&amp;" unidades a CT de $" &amp;TEXT(Hoja2!W21,"#.###,00"),"Análisis de descuentos x cantidad, "&amp;IF(C2="Probabilistico","no habilitado en este modelo","marcar casilla")),"")</f>
        <v>Análisis de descuentos x cantidad, marcar casilla</v>
      </c>
      <c r="L20" s="76"/>
      <c r="M20" s="76"/>
      <c r="N20" s="76"/>
      <c r="O20" s="76"/>
      <c r="P20" s="77"/>
      <c r="Q20" s="52" t="str">
        <f t="shared" si="2"/>
        <v/>
      </c>
      <c r="R20" s="54" t="str">
        <f t="shared" si="1"/>
        <v/>
      </c>
    </row>
    <row r="21" spans="1:18" x14ac:dyDescent="0.25">
      <c r="B21" s="3" t="s">
        <v>50</v>
      </c>
      <c r="C21" s="3" t="s">
        <v>49</v>
      </c>
      <c r="D21" s="3" t="s">
        <v>51</v>
      </c>
      <c r="F21" s="18"/>
      <c r="G21" s="4"/>
      <c r="H21" s="31"/>
      <c r="I21" s="67" t="s">
        <v>207</v>
      </c>
      <c r="K21" s="4" t="str">
        <f>IF(D19=FALSE,"","Q de oferta")</f>
        <v/>
      </c>
      <c r="L21" s="4" t="str">
        <f>IF(D19=FALSE,"","Q posible")</f>
        <v/>
      </c>
      <c r="M21" s="4" t="str">
        <f>IF(D19=FALSE,"","Costo de oport")</f>
        <v/>
      </c>
      <c r="N21" s="23" t="s">
        <v>156</v>
      </c>
      <c r="O21" s="36">
        <f>Hoja2!W21</f>
        <v>3300</v>
      </c>
      <c r="P21" s="54"/>
      <c r="Q21" s="52" t="str">
        <f t="shared" si="2"/>
        <v/>
      </c>
      <c r="R21" s="54" t="str">
        <f t="shared" si="1"/>
        <v/>
      </c>
    </row>
    <row r="22" spans="1:18" x14ac:dyDescent="0.25">
      <c r="A22" s="3">
        <v>1</v>
      </c>
      <c r="B22" s="3">
        <v>0</v>
      </c>
      <c r="C22" s="47">
        <v>49</v>
      </c>
      <c r="D22" s="3">
        <f>Costo-Costo*B22</f>
        <v>20</v>
      </c>
      <c r="E22" s="3" t="str">
        <f>E7</f>
        <v>$/Unidad</v>
      </c>
      <c r="F22" s="18"/>
      <c r="G22" s="4"/>
      <c r="H22" s="31"/>
      <c r="I22" s="14" t="s">
        <v>176</v>
      </c>
      <c r="K22" s="23" t="str">
        <f>IF(A22&lt;=$D$20,IF($D$19=TRUE,Hoja2!P21,""),"")</f>
        <v/>
      </c>
      <c r="L22" s="23" t="str">
        <f>IF(K22&lt;&gt;"",IF($D$19=TRUE,Hoja2!R21,""),"")</f>
        <v/>
      </c>
      <c r="M22" s="23" t="str">
        <f>IF(K22&lt;&gt;"",IF($D$19=TRUE,Hoja2!V21,""),"")</f>
        <v/>
      </c>
      <c r="N22" s="23" t="s">
        <v>158</v>
      </c>
      <c r="O22" s="4">
        <f>Hoja2!Y21</f>
        <v>16</v>
      </c>
      <c r="P22" s="54"/>
      <c r="Q22" s="57" t="str">
        <f t="shared" si="2"/>
        <v/>
      </c>
      <c r="R22" s="54" t="str">
        <f t="shared" si="1"/>
        <v/>
      </c>
    </row>
    <row r="23" spans="1:18" x14ac:dyDescent="0.25">
      <c r="A23" s="20">
        <v>2</v>
      </c>
      <c r="B23" s="45">
        <v>0.1</v>
      </c>
      <c r="C23" s="46">
        <v>99</v>
      </c>
      <c r="D23" s="3">
        <f t="shared" ref="D23:D31" si="3">IF(OR(B23=0,B23=""),"",Costo-Costo*B23)</f>
        <v>18</v>
      </c>
      <c r="F23" s="18"/>
      <c r="G23" s="4"/>
      <c r="H23" s="31"/>
      <c r="I23" s="106" t="s">
        <v>209</v>
      </c>
      <c r="K23" s="23" t="str">
        <f>IF(A23&lt;=$D$20,IF($D$19=TRUE,Hoja2!P22,""),"")</f>
        <v/>
      </c>
      <c r="L23" s="23" t="str">
        <f>IF(K23&lt;&gt;"",IF($D$19=TRUE,Hoja2!R22,""),"")</f>
        <v/>
      </c>
      <c r="M23" s="23" t="str">
        <f>IF(K23&lt;&gt;"",IF($D$19=TRUE,Hoja2!V22,""),"")</f>
        <v/>
      </c>
      <c r="N23" s="3" t="s">
        <v>157</v>
      </c>
      <c r="O23" s="35">
        <f>_xlfn.XLOOKUP(O22,D22:D31,B22:B31)</f>
        <v>0.2</v>
      </c>
    </row>
    <row r="24" spans="1:18" x14ac:dyDescent="0.25">
      <c r="A24" s="12">
        <v>3</v>
      </c>
      <c r="B24" s="45">
        <v>0.2</v>
      </c>
      <c r="C24" s="46"/>
      <c r="D24" s="3">
        <f t="shared" si="3"/>
        <v>16</v>
      </c>
      <c r="F24" s="18"/>
      <c r="G24" s="4"/>
      <c r="H24" s="31"/>
      <c r="I24" s="105" t="s">
        <v>208</v>
      </c>
      <c r="K24" s="23" t="str">
        <f>IF(A24&lt;=$D$20,IF($D$19=TRUE,Hoja2!P23,""),"")</f>
        <v/>
      </c>
      <c r="L24" s="23" t="str">
        <f>IF(K24&lt;&gt;"",IF($D$19=TRUE,Hoja2!R23,""),"")</f>
        <v/>
      </c>
      <c r="M24" s="98" t="str">
        <f>IF(K24&lt;&gt;"",IF($D$19=TRUE,Hoja2!V23,""),"")</f>
        <v/>
      </c>
    </row>
    <row r="25" spans="1:18" x14ac:dyDescent="0.25">
      <c r="A25" s="3">
        <v>4</v>
      </c>
      <c r="B25" s="45"/>
      <c r="C25" s="46"/>
      <c r="D25" s="3" t="str">
        <f t="shared" si="3"/>
        <v/>
      </c>
      <c r="F25" s="59"/>
      <c r="G25" s="17"/>
      <c r="H25" s="60"/>
      <c r="K25" s="23" t="str">
        <f>IF(A25&lt;=$D$20,IF($D$19=TRUE,Hoja2!P24,""),"")</f>
        <v/>
      </c>
      <c r="L25" s="23" t="str">
        <f>IF(K25&lt;&gt;"",IF($D$19=TRUE,Hoja2!R24,""),"")</f>
        <v/>
      </c>
      <c r="M25" s="23" t="str">
        <f>IF(K25&lt;&gt;"",IF($D$19=TRUE,Hoja2!V24,""),"")</f>
        <v/>
      </c>
    </row>
    <row r="26" spans="1:18" x14ac:dyDescent="0.25">
      <c r="A26" s="12">
        <v>5</v>
      </c>
      <c r="B26" s="45"/>
      <c r="C26" s="46"/>
      <c r="D26" s="3" t="str">
        <f t="shared" si="3"/>
        <v/>
      </c>
      <c r="F26" s="18"/>
      <c r="G26" s="4"/>
      <c r="H26" s="31"/>
      <c r="K26" s="23" t="str">
        <f>IF(A26&lt;=$D$20,IF($D$19=TRUE,Hoja2!P25,""),"")</f>
        <v/>
      </c>
      <c r="L26" s="23" t="str">
        <f>IF(K26&lt;&gt;"",IF($D$19=TRUE,Hoja2!R25,""),"")</f>
        <v/>
      </c>
      <c r="M26" s="23" t="str">
        <f>IF(K26&lt;&gt;"",IF($D$19=TRUE,Hoja2!V25,""),"")</f>
        <v/>
      </c>
    </row>
    <row r="27" spans="1:18" x14ac:dyDescent="0.25">
      <c r="A27" s="12">
        <v>6</v>
      </c>
      <c r="B27" s="45"/>
      <c r="C27" s="46"/>
      <c r="D27" s="3" t="str">
        <f t="shared" si="3"/>
        <v/>
      </c>
      <c r="K27" s="23" t="str">
        <f>IF(A27&lt;=$D$20,IF($D$19=TRUE,Hoja2!P26,""),"")</f>
        <v/>
      </c>
      <c r="L27" s="23" t="str">
        <f>IF(K27&lt;&gt;"",IF($D$19=TRUE,Hoja2!R26,""),"")</f>
        <v/>
      </c>
      <c r="M27" s="23" t="str">
        <f>IF(K27&lt;&gt;"",IF($D$19=TRUE,Hoja2!V26,""),"")</f>
        <v/>
      </c>
    </row>
    <row r="28" spans="1:18" x14ac:dyDescent="0.25">
      <c r="A28" s="12">
        <v>7</v>
      </c>
      <c r="B28" s="45"/>
      <c r="C28" s="46"/>
      <c r="D28" s="3" t="str">
        <f t="shared" si="3"/>
        <v/>
      </c>
      <c r="K28" s="23" t="str">
        <f>IF(A28&lt;=$D$20,IF($D$19=TRUE,Hoja2!P27,""),"")</f>
        <v/>
      </c>
      <c r="L28" s="23" t="str">
        <f>IF(K28&lt;&gt;"",IF($D$19=TRUE,Hoja2!R27,""),"")</f>
        <v/>
      </c>
      <c r="M28" s="23" t="str">
        <f>IF(K28&lt;&gt;"",IF($D$19=TRUE,Hoja2!V27,""),"")</f>
        <v/>
      </c>
    </row>
    <row r="29" spans="1:18" x14ac:dyDescent="0.25">
      <c r="A29" s="12">
        <v>8</v>
      </c>
      <c r="B29" s="45"/>
      <c r="C29" s="46"/>
      <c r="D29" s="3" t="str">
        <f t="shared" si="3"/>
        <v/>
      </c>
      <c r="K29" s="23" t="str">
        <f>IF(A29&lt;=$D$20,IF($D$19=TRUE,Hoja2!P28,""),"")</f>
        <v/>
      </c>
      <c r="L29" s="23" t="str">
        <f>IF(K29&lt;&gt;"",IF($D$19=TRUE,Hoja2!R28,""),"")</f>
        <v/>
      </c>
      <c r="M29" s="23" t="str">
        <f>IF(K29&lt;&gt;"",IF($D$19=TRUE,Hoja2!V28,""),"")</f>
        <v/>
      </c>
    </row>
    <row r="30" spans="1:18" x14ac:dyDescent="0.25">
      <c r="A30" s="12">
        <v>9</v>
      </c>
      <c r="B30" s="45"/>
      <c r="C30" s="46"/>
      <c r="D30" s="3" t="str">
        <f t="shared" si="3"/>
        <v/>
      </c>
      <c r="K30" s="23" t="str">
        <f>IF(A30&lt;=$D$20,IF($D$19=TRUE,Hoja2!P29,""),"")</f>
        <v/>
      </c>
      <c r="L30" s="23" t="str">
        <f>IF(K30&lt;&gt;"",IF($D$19=TRUE,Hoja2!R29,""),"")</f>
        <v/>
      </c>
      <c r="M30" s="23" t="str">
        <f>IF(K30&lt;&gt;"",IF($D$19=TRUE,Hoja2!V29,""),"")</f>
        <v/>
      </c>
    </row>
    <row r="31" spans="1:18" x14ac:dyDescent="0.25">
      <c r="A31" s="3">
        <v>10</v>
      </c>
      <c r="B31" s="45"/>
      <c r="C31" s="46"/>
      <c r="D31" s="3" t="str">
        <f t="shared" si="3"/>
        <v/>
      </c>
      <c r="K31" s="23" t="str">
        <f>IF(A31&lt;=$D$20,IF($D$19=TRUE,Hoja2!P30,""),"")</f>
        <v/>
      </c>
      <c r="L31" s="23" t="str">
        <f>IF(K31&lt;&gt;"",IF($D$19=TRUE,Hoja2!R30,""),"")</f>
        <v/>
      </c>
      <c r="M31" s="23" t="str">
        <f>IF(K31&lt;&gt;"",IF($D$19=TRUE,Hoja2!V30,""),"")</f>
        <v/>
      </c>
    </row>
    <row r="38" spans="7:14" ht="15" x14ac:dyDescent="0.25">
      <c r="G38" s="64"/>
      <c r="H38" s="64"/>
      <c r="I38" s="64"/>
      <c r="L38" s="64"/>
      <c r="M38" s="64"/>
      <c r="N38" s="64"/>
    </row>
    <row r="39" spans="7:14" ht="15" x14ac:dyDescent="0.25">
      <c r="G39" s="64"/>
    </row>
    <row r="42" spans="7:14" ht="15" x14ac:dyDescent="0.25">
      <c r="G42" s="64"/>
    </row>
    <row r="44" spans="7:14" x14ac:dyDescent="0.25">
      <c r="G44" s="13"/>
    </row>
    <row r="45" spans="7:14" x14ac:dyDescent="0.25">
      <c r="G45" s="13"/>
    </row>
    <row r="46" spans="7:14" x14ac:dyDescent="0.25">
      <c r="G46" s="13"/>
    </row>
    <row r="47" spans="7:14" x14ac:dyDescent="0.25">
      <c r="G47" s="13"/>
    </row>
    <row r="48" spans="7:14" x14ac:dyDescent="0.25">
      <c r="G48" s="13"/>
    </row>
    <row r="49" spans="7:12" x14ac:dyDescent="0.25">
      <c r="G49" s="13"/>
    </row>
    <row r="50" spans="7:12" ht="15" x14ac:dyDescent="0.25">
      <c r="G50" s="64"/>
    </row>
    <row r="51" spans="7:12" ht="15" x14ac:dyDescent="0.25">
      <c r="G51" s="64"/>
    </row>
    <row r="52" spans="7:12" ht="15" x14ac:dyDescent="0.25">
      <c r="G52" s="64"/>
    </row>
    <row r="56" spans="7:12" x14ac:dyDescent="0.25">
      <c r="L56" s="66"/>
    </row>
    <row r="58" spans="7:12" x14ac:dyDescent="0.25">
      <c r="G58" s="65"/>
    </row>
    <row r="96" hidden="1" x14ac:dyDescent="0.25"/>
    <row r="97" spans="6:15" hidden="1" x14ac:dyDescent="0.25"/>
    <row r="98" spans="6:15" hidden="1" x14ac:dyDescent="0.25">
      <c r="J98" s="3">
        <f>COUNTIFS(J100:J122,"P",J100:J122,"C",J100:J122,"CP",J100:J122,"x")</f>
        <v>0</v>
      </c>
      <c r="L98" s="3">
        <f>COUNTA(L100:L108)</f>
        <v>9</v>
      </c>
    </row>
    <row r="99" spans="6:15" hidden="1" x14ac:dyDescent="0.25"/>
    <row r="100" spans="6:15" hidden="1" x14ac:dyDescent="0.25">
      <c r="F100" s="18" t="s">
        <v>68</v>
      </c>
      <c r="G100" s="40" t="s">
        <v>54</v>
      </c>
      <c r="H100" s="31">
        <f>IF(Revision="Canillita",QoptCACA,Qop)</f>
        <v>77.459666924148337</v>
      </c>
      <c r="I100" s="3" t="s">
        <v>82</v>
      </c>
      <c r="J100" s="51" t="str">
        <f>IF(Revision="Periódica","","P")</f>
        <v>P</v>
      </c>
      <c r="L100" s="3" t="str" cm="1">
        <f t="array" ref="L100:O108">_xlfn._xlws.FILTER($F$100:$I$122,$J$100:$J$122&lt;&gt;"")</f>
        <v>Cantidad a pedir</v>
      </c>
      <c r="M100" s="3" t="str">
        <v>Q</v>
      </c>
      <c r="N100" s="3">
        <v>77.459666924148337</v>
      </c>
      <c r="O100" s="3" t="str">
        <v>unidades/pedido</v>
      </c>
    </row>
    <row r="101" spans="6:15" hidden="1" x14ac:dyDescent="0.25">
      <c r="F101" s="18" t="str">
        <f>IF(modelo="POQ","Máximo nivel alm.","")</f>
        <v/>
      </c>
      <c r="G101" s="4" t="str">
        <f>IF(modelo="POQ","Qmax","")</f>
        <v/>
      </c>
      <c r="H101" s="23">
        <f>Qmax</f>
        <v>61.967733539318672</v>
      </c>
      <c r="I101" s="3" t="s">
        <v>44</v>
      </c>
      <c r="J101" s="51" t="str">
        <f>IF(OR(modelo="Probabilistico",modelo="EOQ"),"","Prob")</f>
        <v/>
      </c>
      <c r="L101" s="3" t="str">
        <v>Ordenes en esp</v>
      </c>
      <c r="M101" s="3" t="str">
        <v>L/T</v>
      </c>
      <c r="N101" s="3">
        <v>4.4688269379316352E-2</v>
      </c>
      <c r="O101" s="3" t="str">
        <v>unidades</v>
      </c>
    </row>
    <row r="102" spans="6:15" hidden="1" x14ac:dyDescent="0.25">
      <c r="F102" s="18" t="s">
        <v>69</v>
      </c>
      <c r="G102" s="4" t="s">
        <v>70</v>
      </c>
      <c r="H102" s="23">
        <f>Lead/TentrQ</f>
        <v>4.4688269379316352E-2</v>
      </c>
      <c r="I102" s="3" t="s">
        <v>44</v>
      </c>
      <c r="J102" s="51" t="str">
        <f>"C"</f>
        <v>C</v>
      </c>
      <c r="L102" s="3" t="str">
        <v>Ped/año</v>
      </c>
      <c r="M102" s="3" t="str">
        <v>n</v>
      </c>
      <c r="N102" s="3">
        <v>2.3237900077244502</v>
      </c>
      <c r="O102" s="3" t="str">
        <v>pedidos</v>
      </c>
    </row>
    <row r="103" spans="6:15" hidden="1" x14ac:dyDescent="0.25">
      <c r="F103" s="18" t="str">
        <f>"Ped/"&amp;udet</f>
        <v>Ped/año</v>
      </c>
      <c r="G103" s="4" t="s">
        <v>71</v>
      </c>
      <c r="H103" s="23">
        <f>n</f>
        <v>2.3237900077244502</v>
      </c>
      <c r="I103" s="3" t="s">
        <v>83</v>
      </c>
      <c r="J103" s="3" t="str">
        <f>IF(Revision="Canillita","","C")</f>
        <v>C</v>
      </c>
      <c r="L103" s="3" t="str">
        <v>Ciclo</v>
      </c>
      <c r="M103" s="3" t="str">
        <v>T</v>
      </c>
      <c r="N103" s="3">
        <v>0.43033148291193518</v>
      </c>
      <c r="O103" s="3" t="str">
        <v>año</v>
      </c>
    </row>
    <row r="104" spans="6:15" hidden="1" x14ac:dyDescent="0.25">
      <c r="F104" s="18" t="s">
        <v>103</v>
      </c>
      <c r="G104" s="4" t="s">
        <v>26</v>
      </c>
      <c r="H104" s="23">
        <f>IFERROR(1/n,"Faltan datos")</f>
        <v>0.43033148291193518</v>
      </c>
      <c r="I104" s="3" t="str">
        <f>udet</f>
        <v>año</v>
      </c>
      <c r="J104" s="3" t="str">
        <f>IF(Revision="Canillita","","C")</f>
        <v>C</v>
      </c>
      <c r="L104" s="3" t="str">
        <v>PuntoRep</v>
      </c>
      <c r="M104" s="3" t="str">
        <v>R</v>
      </c>
      <c r="N104" s="3">
        <v>3.4615384615384617</v>
      </c>
      <c r="O104" s="3" t="str">
        <v>unidades</v>
      </c>
    </row>
    <row r="105" spans="6:15" hidden="1" x14ac:dyDescent="0.25">
      <c r="F105" s="18" t="s">
        <v>56</v>
      </c>
      <c r="G105" s="4" t="s">
        <v>72</v>
      </c>
      <c r="H105" s="23">
        <f>erre</f>
        <v>3.4615384615384617</v>
      </c>
      <c r="I105" s="3" t="s">
        <v>44</v>
      </c>
      <c r="J105" s="51" t="str">
        <f>IF(OR(Revision="Canillita",Revision="Periódica"),"","CP")</f>
        <v>CP</v>
      </c>
      <c r="L105" s="3" t="str">
        <v>Costo admin</v>
      </c>
      <c r="M105" s="3" t="str">
        <v>AD</v>
      </c>
      <c r="N105" s="3">
        <v>232.37900077244501</v>
      </c>
      <c r="O105" s="3" t="str">
        <v>$/año</v>
      </c>
    </row>
    <row r="106" spans="6:15" hidden="1" x14ac:dyDescent="0.25">
      <c r="F106" s="18" t="str">
        <f>IF(modelo="POQ","Ubicación de R","")</f>
        <v/>
      </c>
      <c r="G106" s="38" t="str">
        <f>IFERROR(IF(modelo="POQ",lado,""),"")</f>
        <v/>
      </c>
      <c r="H106" s="37"/>
      <c r="J106" s="51" t="str">
        <f>IF(OR(modelo="Probabilistico",modelo="EOQ"),"","Prob")</f>
        <v/>
      </c>
      <c r="L106" s="3" t="str">
        <v>Costo almac</v>
      </c>
      <c r="M106" s="3" t="str">
        <v>AL</v>
      </c>
      <c r="N106" s="3">
        <v>232.37900077244501</v>
      </c>
      <c r="O106" s="3" t="str">
        <v>$/año</v>
      </c>
    </row>
    <row r="107" spans="6:15" hidden="1" x14ac:dyDescent="0.25">
      <c r="F107" s="18" t="str">
        <f>IF(modelo="POQ","Tiempo de prod","")</f>
        <v/>
      </c>
      <c r="G107" s="4" t="str">
        <f>IF(F107="","","Tpo")</f>
        <v/>
      </c>
      <c r="H107" s="23" t="str">
        <f>IF(modelo="POQ",tprod,"")</f>
        <v/>
      </c>
      <c r="I107" s="3" t="str">
        <f>IF(modelo="POQ",udet,"")</f>
        <v/>
      </c>
      <c r="J107" s="51" t="str">
        <f>IF(OR(modelo="Probabilistico",modelo="EOQ"),"","Prob")</f>
        <v/>
      </c>
      <c r="L107" s="3" t="str">
        <v>Costo merca</v>
      </c>
      <c r="M107" s="3" t="str">
        <v>CM</v>
      </c>
      <c r="N107" s="3">
        <v>3600</v>
      </c>
      <c r="O107" s="3" t="str">
        <v>$/año</v>
      </c>
    </row>
    <row r="108" spans="6:15" hidden="1" x14ac:dyDescent="0.25">
      <c r="F108" s="18" t="s">
        <v>114</v>
      </c>
      <c r="G108" s="4" t="s">
        <v>115</v>
      </c>
      <c r="H108" s="23">
        <f>IFERROR(TentrQ-tprod,"Faltan datos")</f>
        <v>0.34426518632954817</v>
      </c>
      <c r="I108" s="3" t="str">
        <f>IF(modelo="POQ",udet,"")</f>
        <v/>
      </c>
      <c r="J108" s="51" t="str">
        <f>IF(OR(modelo="Probabilistico",modelo="EOQ"),"","Prob")</f>
        <v/>
      </c>
      <c r="L108" s="3" t="str">
        <v>Costo total</v>
      </c>
      <c r="M108" s="3" t="str">
        <v>CT</v>
      </c>
      <c r="N108" s="3">
        <v>4064.7580015448902</v>
      </c>
      <c r="O108" s="3" t="str">
        <v>$/año</v>
      </c>
    </row>
    <row r="109" spans="6:15" hidden="1" x14ac:dyDescent="0.25">
      <c r="F109" s="18" t="s">
        <v>57</v>
      </c>
      <c r="G109" s="4" t="s">
        <v>73</v>
      </c>
      <c r="H109" s="23">
        <f>ese</f>
        <v>6.8430047222382093</v>
      </c>
      <c r="I109" s="3" t="s">
        <v>44</v>
      </c>
      <c r="J109" s="3" t="str">
        <f>IF(OR(Revision="Canillita",modelo="POQ",modelo="EOQ"),"","C")</f>
        <v/>
      </c>
    </row>
    <row r="110" spans="6:15" hidden="1" x14ac:dyDescent="0.25">
      <c r="F110" s="18" t="str">
        <f>IF(Revision="Periódica","T+L","R+S")</f>
        <v>R+S</v>
      </c>
      <c r="G110" s="4" t="str">
        <f>F110</f>
        <v>R+S</v>
      </c>
      <c r="H110" s="23">
        <f>IFERROR(IF(Revision="Periódica",temasele,erre+ese),"Faltan datos")</f>
        <v>10.304543183776671</v>
      </c>
      <c r="I110" s="3" t="s">
        <v>44</v>
      </c>
      <c r="J110" s="3" t="str">
        <f>IF(OR(Revision="Canillita",modelo="POQ",modelo="EOQ"),"","C")</f>
        <v/>
      </c>
    </row>
    <row r="111" spans="6:15" hidden="1" x14ac:dyDescent="0.25">
      <c r="F111" s="18" t="str">
        <f>IF(Revision="Periódica","Dem en T+L","Dem en Lead")</f>
        <v>Dem en Lead</v>
      </c>
      <c r="G111" s="5" t="str">
        <f>IF(Revision="Periódica","μT+L","μL")</f>
        <v>μL</v>
      </c>
      <c r="H111" s="23" t="str">
        <f>IF(Revision="Periódica",mutemasele,muele)</f>
        <v>Faltan datos</v>
      </c>
      <c r="I111" s="3" t="s">
        <v>44</v>
      </c>
      <c r="J111" s="3" t="str">
        <f>IF(OR(Revision="Canillita",modelo="POQ",modelo="EOQ"),"","C")</f>
        <v/>
      </c>
    </row>
    <row r="112" spans="6:15" hidden="1" x14ac:dyDescent="0.25">
      <c r="F112" s="18" t="str">
        <f>IF(Revision="Periódica","Desv est en T+L","Desv est en Lead")</f>
        <v>Desv est en Lead</v>
      </c>
      <c r="G112" s="5" t="str">
        <f>IF(Revision="Periódica","σT+L","σL")</f>
        <v>σL</v>
      </c>
      <c r="H112" s="23">
        <f>IF(Revision="Periódica",sigmatemasele,sigmaele)</f>
        <v>4.1602514716892189</v>
      </c>
      <c r="I112" s="3" t="s">
        <v>44</v>
      </c>
      <c r="J112" s="3" t="str">
        <f>IF(OR(Revision="Canillita",modelo="POQ",modelo="EOQ"),"","C")</f>
        <v/>
      </c>
    </row>
    <row r="113" spans="6:10" hidden="1" x14ac:dyDescent="0.25">
      <c r="F113" s="18" t="s">
        <v>59</v>
      </c>
      <c r="G113" s="4" t="s">
        <v>74</v>
      </c>
      <c r="H113" s="23" t="e">
        <f>qperiodica</f>
        <v>#VALUE!</v>
      </c>
      <c r="I113" s="3" t="s">
        <v>44</v>
      </c>
      <c r="J113" s="51" t="str">
        <f>IF(OR(Revision="Canillita",Revision=" Continua",modelo="POQ",modelo="EOQ"),"","CPPOQ")</f>
        <v/>
      </c>
    </row>
    <row r="114" spans="6:10" hidden="1" x14ac:dyDescent="0.25">
      <c r="F114" s="18" t="s">
        <v>60</v>
      </c>
      <c r="G114" s="4" t="s">
        <v>75</v>
      </c>
      <c r="H114" s="26" t="str">
        <f>IF($D$19=TRUE,Hoja2!$R$23,"")</f>
        <v/>
      </c>
      <c r="I114" s="3" t="s">
        <v>44</v>
      </c>
      <c r="J114" s="51" t="str">
        <f>IF(AND($D$19=TRUE,OR(Revision="Deterministica",Revision=" Continua")),"C","")</f>
        <v/>
      </c>
    </row>
    <row r="115" spans="6:10" hidden="1" x14ac:dyDescent="0.25">
      <c r="F115" s="18" t="s">
        <v>177</v>
      </c>
      <c r="G115" s="4" t="s">
        <v>178</v>
      </c>
      <c r="H115" s="23" t="str">
        <f>IF($D$19=TRUE,Hoja2!$V$23,"")</f>
        <v/>
      </c>
      <c r="I115" s="3" t="s">
        <v>84</v>
      </c>
      <c r="J115" s="51" t="str">
        <f>IF(AND($D$19=TRUE,OR(Revision="Deterministica",Revision=" Continua")),"C","")</f>
        <v/>
      </c>
    </row>
    <row r="116" spans="6:10" hidden="1" x14ac:dyDescent="0.25">
      <c r="F116" s="18" t="s">
        <v>63</v>
      </c>
      <c r="G116" s="5" t="s">
        <v>76</v>
      </c>
      <c r="H116" s="31">
        <f>newalfa</f>
        <v>0.83333333333333337</v>
      </c>
      <c r="J116" s="51" t="str">
        <f>IF(OR(modelo="Probabilistico",modelo="POQ",modelo="EOQ"),"","Prob")</f>
        <v/>
      </c>
    </row>
    <row r="117" spans="6:10" hidden="1" x14ac:dyDescent="0.25">
      <c r="F117" s="18" t="s">
        <v>64</v>
      </c>
      <c r="G117" s="4" t="s">
        <v>77</v>
      </c>
      <c r="H117" s="31">
        <f>CAD</f>
        <v>232.37900077244501</v>
      </c>
      <c r="I117" s="3" t="str">
        <f>"$/"&amp;udet</f>
        <v>$/año</v>
      </c>
      <c r="J117" s="3" t="str">
        <f>IF(Revision="Canillita","","C")</f>
        <v>C</v>
      </c>
    </row>
    <row r="118" spans="6:10" hidden="1" x14ac:dyDescent="0.25">
      <c r="F118" s="18" t="s">
        <v>65</v>
      </c>
      <c r="G118" s="4" t="s">
        <v>78</v>
      </c>
      <c r="H118" s="31">
        <f>CAL</f>
        <v>232.37900077244501</v>
      </c>
      <c r="I118" s="3" t="str">
        <f>"$/"&amp;udet</f>
        <v>$/año</v>
      </c>
      <c r="J118" s="3" t="str">
        <f>IF(Revision="Canillita","","C")</f>
        <v>C</v>
      </c>
    </row>
    <row r="119" spans="6:10" hidden="1" x14ac:dyDescent="0.25">
      <c r="F119" s="18" t="s">
        <v>66</v>
      </c>
      <c r="G119" s="4" t="s">
        <v>79</v>
      </c>
      <c r="H119" s="31">
        <f>IF(Revision="Canillita",CMCA,CME)</f>
        <v>3600</v>
      </c>
      <c r="I119" s="3" t="str">
        <f>"$/"&amp;udet</f>
        <v>$/año</v>
      </c>
      <c r="J119" s="3" t="s">
        <v>175</v>
      </c>
    </row>
    <row r="120" spans="6:10" hidden="1" x14ac:dyDescent="0.25">
      <c r="F120" s="18" t="s">
        <v>67</v>
      </c>
      <c r="G120" s="4" t="s">
        <v>80</v>
      </c>
      <c r="H120" s="31">
        <f>CT</f>
        <v>4064.7580015448902</v>
      </c>
      <c r="I120" s="3" t="str">
        <f>"$/"&amp;udet</f>
        <v>$/año</v>
      </c>
      <c r="J120" s="3" t="str">
        <f>IF(Revision="Canillita","","C")</f>
        <v>C</v>
      </c>
    </row>
    <row r="121" spans="6:10" hidden="1" x14ac:dyDescent="0.25">
      <c r="F121" s="18" t="s">
        <v>61</v>
      </c>
      <c r="G121" s="4" t="s">
        <v>81</v>
      </c>
      <c r="H121" s="31">
        <f>Cu</f>
        <v>50</v>
      </c>
      <c r="I121" s="3" t="s">
        <v>84</v>
      </c>
      <c r="J121" s="3" t="str">
        <f>IF(Revision="Canillita","C","")</f>
        <v/>
      </c>
    </row>
    <row r="122" spans="6:10" hidden="1" x14ac:dyDescent="0.25">
      <c r="F122" s="59" t="s">
        <v>62</v>
      </c>
      <c r="G122" s="17" t="s">
        <v>88</v>
      </c>
      <c r="H122" s="60">
        <f>Co</f>
        <v>10</v>
      </c>
      <c r="I122" s="58" t="s">
        <v>84</v>
      </c>
      <c r="J122" s="3" t="str">
        <f>IF(Revision="Canillita","C","")</f>
        <v/>
      </c>
    </row>
    <row r="123" spans="6:10" hidden="1" x14ac:dyDescent="0.25">
      <c r="F123" s="3" t="s">
        <v>204</v>
      </c>
      <c r="G123" s="4" t="s">
        <v>205</v>
      </c>
      <c r="H123" s="3" t="e">
        <f>GananCan</f>
        <v>#VALUE!</v>
      </c>
      <c r="I123" s="3" t="s">
        <v>84</v>
      </c>
      <c r="J123" s="3" t="str">
        <f>IF(Revision="Canillita","C","")</f>
        <v/>
      </c>
    </row>
    <row r="124" spans="6:10" hidden="1" x14ac:dyDescent="0.25"/>
    <row r="125" spans="6:10" hidden="1" x14ac:dyDescent="0.25"/>
    <row r="126" spans="6:10" hidden="1" collapsed="1" x14ac:dyDescent="0.25"/>
  </sheetData>
  <sheetProtection algorithmName="SHA-512" hashValue="5K/CeXIAqucrvP5p82GvEbzNtiF1ho2GqNaXBw+TNr5fIDjIcsqqWCyfvSqhUmFpqeIRnPpnfGTX+K2gzZr8Qg==" saltValue="yeT4g4oXPwraCpNaDFaU/A==" spinCount="100000" sheet="1" objects="1" scenarios="1"/>
  <mergeCells count="12">
    <mergeCell ref="K20:P20"/>
    <mergeCell ref="B19:C19"/>
    <mergeCell ref="B20:C20"/>
    <mergeCell ref="B1:E1"/>
    <mergeCell ref="F1:I1"/>
    <mergeCell ref="K6:N6"/>
    <mergeCell ref="F2:I2"/>
    <mergeCell ref="K19:L19"/>
    <mergeCell ref="Q2:R2"/>
    <mergeCell ref="K10:P10"/>
    <mergeCell ref="K1:P1"/>
    <mergeCell ref="K2:P2"/>
  </mergeCells>
  <conditionalFormatting sqref="A23:D31">
    <cfRule type="expression" dxfId="87" priority="139">
      <formula>$A23&lt;=$D$20</formula>
    </cfRule>
  </conditionalFormatting>
  <conditionalFormatting sqref="A20:E31">
    <cfRule type="expression" dxfId="86" priority="138">
      <formula>$D$19=FALSE</formula>
    </cfRule>
  </conditionalFormatting>
  <conditionalFormatting sqref="B16:B18">
    <cfRule type="expression" dxfId="85" priority="103">
      <formula>$C$3="Canillita"</formula>
    </cfRule>
  </conditionalFormatting>
  <conditionalFormatting sqref="B2:C5 B7:C12 B19:C19">
    <cfRule type="expression" dxfId="84" priority="146">
      <formula>$C$2="EOQ"</formula>
    </cfRule>
  </conditionalFormatting>
  <conditionalFormatting sqref="B2:C6">
    <cfRule type="expression" dxfId="83" priority="72">
      <formula>$C$3="Periódica"</formula>
    </cfRule>
  </conditionalFormatting>
  <conditionalFormatting sqref="B2:C7">
    <cfRule type="expression" dxfId="82" priority="70">
      <formula>$C$3="Canillita"</formula>
    </cfRule>
  </conditionalFormatting>
  <conditionalFormatting sqref="B2:C12 B19:C19">
    <cfRule type="expression" dxfId="81" priority="129">
      <formula>$C$2="POQ"</formula>
    </cfRule>
  </conditionalFormatting>
  <conditionalFormatting sqref="B2:C15 B19:C19">
    <cfRule type="expression" dxfId="80" priority="119">
      <formula>$C$3=" Continua"</formula>
    </cfRule>
  </conditionalFormatting>
  <conditionalFormatting sqref="B6:C6 B8:C8 B12:C12 B19:D19">
    <cfRule type="expression" dxfId="79" priority="105">
      <formula>$C$3="Canillita"</formula>
    </cfRule>
  </conditionalFormatting>
  <conditionalFormatting sqref="B6:C6">
    <cfRule type="expression" dxfId="78" priority="73">
      <formula>$C$2="EOQ"</formula>
    </cfRule>
  </conditionalFormatting>
  <conditionalFormatting sqref="B7:C18">
    <cfRule type="expression" dxfId="77" priority="112">
      <formula>$C$3="Periódica"</formula>
    </cfRule>
  </conditionalFormatting>
  <conditionalFormatting sqref="B9:C14">
    <cfRule type="expression" dxfId="76" priority="89">
      <formula>$C$3="Canillita"</formula>
    </cfRule>
  </conditionalFormatting>
  <conditionalFormatting sqref="B13:C18">
    <cfRule type="expression" dxfId="75" priority="123">
      <formula>$C$2="POQ"</formula>
    </cfRule>
  </conditionalFormatting>
  <conditionalFormatting sqref="B18:C18">
    <cfRule type="expression" dxfId="74" priority="93">
      <formula>$C$3=" Continua"</formula>
    </cfRule>
  </conditionalFormatting>
  <conditionalFormatting sqref="B23:C31">
    <cfRule type="expression" dxfId="73" priority="134">
      <formula>AND($A23&lt;=$D$20,$D$19=TRUE)</formula>
    </cfRule>
  </conditionalFormatting>
  <conditionalFormatting sqref="B6:D6 D8 B12:D12 D16:D18">
    <cfRule type="expression" dxfId="72" priority="86">
      <formula>$C$3="Canillita"</formula>
    </cfRule>
  </conditionalFormatting>
  <conditionalFormatting sqref="B6:D6">
    <cfRule type="expression" dxfId="71" priority="6">
      <formula>$C$2&lt;&gt;"POQ"</formula>
    </cfRule>
    <cfRule type="expression" dxfId="70" priority="71">
      <formula>$C$2="Probabilistico"</formula>
    </cfRule>
  </conditionalFormatting>
  <conditionalFormatting sqref="B12:D12">
    <cfRule type="expression" dxfId="69" priority="91">
      <formula>$C$2="Probabilistico"</formula>
    </cfRule>
  </conditionalFormatting>
  <conditionalFormatting sqref="B13:D18">
    <cfRule type="expression" dxfId="68" priority="140">
      <formula>$C$2="EOQ"</formula>
    </cfRule>
  </conditionalFormatting>
  <conditionalFormatting sqref="B20:D23 D24:D31">
    <cfRule type="expression" dxfId="67" priority="135">
      <formula>$D$19=TRUE</formula>
    </cfRule>
  </conditionalFormatting>
  <conditionalFormatting sqref="B6:E6">
    <cfRule type="expression" dxfId="66" priority="67">
      <formula>$C$2="Probabilistico"</formula>
    </cfRule>
  </conditionalFormatting>
  <conditionalFormatting sqref="C16:C17">
    <cfRule type="expression" dxfId="65" priority="95">
      <formula>$C$3=" Continua"</formula>
    </cfRule>
  </conditionalFormatting>
  <conditionalFormatting sqref="C16:C18">
    <cfRule type="expression" dxfId="64" priority="96">
      <formula>$C$3="Periódica"</formula>
    </cfRule>
    <cfRule type="expression" dxfId="63" priority="102">
      <formula>$C$3="Canillita"</formula>
    </cfRule>
  </conditionalFormatting>
  <conditionalFormatting sqref="C19">
    <cfRule type="expression" dxfId="62" priority="88">
      <formula>$C$3="Canillita"</formula>
    </cfRule>
  </conditionalFormatting>
  <conditionalFormatting sqref="D6">
    <cfRule type="expression" dxfId="61" priority="68">
      <formula>$C$3="Periódica"</formula>
    </cfRule>
    <cfRule type="expression" dxfId="60" priority="69">
      <formula>$C$3=" Continua"</formula>
    </cfRule>
  </conditionalFormatting>
  <conditionalFormatting sqref="D8 D15:D19">
    <cfRule type="expression" dxfId="59" priority="87">
      <formula>$C$3="Canillita"</formula>
    </cfRule>
  </conditionalFormatting>
  <conditionalFormatting sqref="D13:D18">
    <cfRule type="expression" dxfId="58" priority="92">
      <formula>$C$2="POQ"</formula>
    </cfRule>
    <cfRule type="expression" dxfId="57" priority="122">
      <formula>$C$2="POQ"</formula>
    </cfRule>
  </conditionalFormatting>
  <conditionalFormatting sqref="D16:D18">
    <cfRule type="expression" dxfId="56" priority="94">
      <formula>$C$3=" Continua"</formula>
    </cfRule>
    <cfRule type="expression" dxfId="55" priority="107">
      <formula>$C$3&lt;&gt;"Periódica"</formula>
    </cfRule>
  </conditionalFormatting>
  <conditionalFormatting sqref="D12:E12 D16:E18">
    <cfRule type="expression" dxfId="54" priority="79">
      <formula>$C$3=" Continua"</formula>
    </cfRule>
  </conditionalFormatting>
  <conditionalFormatting sqref="D12:E12">
    <cfRule type="expression" dxfId="53" priority="77">
      <formula>$C$3="Periódica"</formula>
    </cfRule>
  </conditionalFormatting>
  <conditionalFormatting sqref="E6 E8 E12 B15:E15">
    <cfRule type="expression" dxfId="52" priority="85">
      <formula>$C$3="Canillita"</formula>
    </cfRule>
  </conditionalFormatting>
  <conditionalFormatting sqref="E6 E15:E18">
    <cfRule type="expression" dxfId="51" priority="83">
      <formula>$C$2="EOQ"</formula>
    </cfRule>
  </conditionalFormatting>
  <conditionalFormatting sqref="E15:E18">
    <cfRule type="expression" dxfId="50" priority="81">
      <formula>$C$2="POQ"</formula>
    </cfRule>
  </conditionalFormatting>
  <conditionalFormatting sqref="F3:G8">
    <cfRule type="expression" dxfId="49" priority="8">
      <formula>$C$3="Canillita"</formula>
    </cfRule>
  </conditionalFormatting>
  <conditionalFormatting sqref="F3:G13">
    <cfRule type="expression" dxfId="48" priority="145">
      <formula>$C$2="EOQ"</formula>
    </cfRule>
  </conditionalFormatting>
  <conditionalFormatting sqref="F3:G14">
    <cfRule type="expression" dxfId="47" priority="10">
      <formula>$C$3="Periódica"</formula>
    </cfRule>
  </conditionalFormatting>
  <conditionalFormatting sqref="F3:G15">
    <cfRule type="expression" dxfId="46" priority="12">
      <formula>$C$3=" Continua"</formula>
    </cfRule>
  </conditionalFormatting>
  <conditionalFormatting sqref="F3:G17">
    <cfRule type="expression" dxfId="45" priority="15">
      <formula>$C$2="POQ"</formula>
    </cfRule>
  </conditionalFormatting>
  <conditionalFormatting sqref="F100:G100 F102:G105 F117:G120">
    <cfRule type="expression" dxfId="44" priority="50">
      <formula>$C$2="EOQ"</formula>
    </cfRule>
  </conditionalFormatting>
  <conditionalFormatting sqref="F100:G100 F116:H116 F119:H119 F121:H122">
    <cfRule type="expression" dxfId="43" priority="40">
      <formula>$C$3="Canillita"</formula>
    </cfRule>
  </conditionalFormatting>
  <conditionalFormatting sqref="F100:G108 F117:G120">
    <cfRule type="expression" dxfId="42" priority="47">
      <formula>$C$2="POQ"</formula>
    </cfRule>
  </conditionalFormatting>
  <conditionalFormatting sqref="F102:G105 F109:G112 F117:G120 F100:G100">
    <cfRule type="expression" dxfId="41" priority="45">
      <formula>$C$3=" Continua"</formula>
    </cfRule>
  </conditionalFormatting>
  <conditionalFormatting sqref="F117:G120 F102:G104 F110:G113">
    <cfRule type="expression" dxfId="40" priority="43">
      <formula>$C$3="Periódica"</formula>
    </cfRule>
  </conditionalFormatting>
  <conditionalFormatting sqref="F2:I2">
    <cfRule type="expression" dxfId="39" priority="16">
      <formula>$C$2="EOQ"</formula>
    </cfRule>
    <cfRule type="expression" dxfId="38" priority="106">
      <formula>$C$3="Canillita"</formula>
    </cfRule>
    <cfRule type="expression" dxfId="37" priority="111">
      <formula>$C$3="Periódica"</formula>
    </cfRule>
    <cfRule type="expression" dxfId="36" priority="118">
      <formula>$C$3=" Continua"</formula>
    </cfRule>
    <cfRule type="expression" dxfId="35" priority="128">
      <formula>$C$2="POQ"</formula>
    </cfRule>
  </conditionalFormatting>
  <conditionalFormatting sqref="G100:H100 G102:H105 G109:H112 G117:H120">
    <cfRule type="expression" dxfId="34" priority="35">
      <formula>$C$3=" Continua"</formula>
    </cfRule>
  </conditionalFormatting>
  <conditionalFormatting sqref="G100:H100">
    <cfRule type="expression" dxfId="33" priority="38">
      <formula>$C$3="Canillita"</formula>
    </cfRule>
  </conditionalFormatting>
  <conditionalFormatting sqref="G100:H105 G107:H108 G117:H120">
    <cfRule type="expression" dxfId="32" priority="36">
      <formula>$C$2="POQ"</formula>
    </cfRule>
  </conditionalFormatting>
  <conditionalFormatting sqref="G102:H104 G110:H113 G117:H120">
    <cfRule type="expression" dxfId="31" priority="34">
      <formula>$C$3="Periódica"</formula>
    </cfRule>
  </conditionalFormatting>
  <conditionalFormatting sqref="G116:H116 G119:H119 G121:H122">
    <cfRule type="expression" dxfId="30" priority="37">
      <formula>$C$3="Canillita"</formula>
    </cfRule>
  </conditionalFormatting>
  <conditionalFormatting sqref="H3:I8 K11:M18">
    <cfRule type="expression" dxfId="29" priority="7">
      <formula>$C$3="Canillita"</formula>
    </cfRule>
  </conditionalFormatting>
  <conditionalFormatting sqref="H3:I13">
    <cfRule type="expression" dxfId="28" priority="17">
      <formula>$C$2="EOQ"</formula>
    </cfRule>
  </conditionalFormatting>
  <conditionalFormatting sqref="H3:I14">
    <cfRule type="expression" dxfId="27" priority="9">
      <formula>$C$3="Periódica"</formula>
    </cfRule>
  </conditionalFormatting>
  <conditionalFormatting sqref="H3:I15">
    <cfRule type="expression" dxfId="26" priority="11">
      <formula>$C$3=" Continua"</formula>
    </cfRule>
  </conditionalFormatting>
  <conditionalFormatting sqref="H3:I17">
    <cfRule type="expression" dxfId="25" priority="14">
      <formula>$C$2="POQ"</formula>
    </cfRule>
  </conditionalFormatting>
  <conditionalFormatting sqref="H9:I9">
    <cfRule type="expression" dxfId="24" priority="13">
      <formula>$C$2="POQ"</formula>
    </cfRule>
  </conditionalFormatting>
  <conditionalFormatting sqref="J23">
    <cfRule type="expression" dxfId="23" priority="55">
      <formula>$C$3="Periódica"</formula>
    </cfRule>
    <cfRule type="expression" dxfId="22" priority="56">
      <formula>$C$3=" Continua"</formula>
    </cfRule>
    <cfRule type="expression" dxfId="21" priority="57">
      <formula>$C$2="POQ"</formula>
    </cfRule>
    <cfRule type="expression" dxfId="20" priority="58">
      <formula>$C$2="EOQ"</formula>
    </cfRule>
  </conditionalFormatting>
  <conditionalFormatting sqref="K11:L13 K13:M15 K14:P14 N11:P13 M12 N18:P18 K19:P19">
    <cfRule type="expression" dxfId="19" priority="132">
      <formula>$C$3&lt;&gt;"Canillita"</formula>
    </cfRule>
  </conditionalFormatting>
  <conditionalFormatting sqref="K11:L18">
    <cfRule type="expression" dxfId="18" priority="97">
      <formula>$C$3="Canillita"</formula>
    </cfRule>
  </conditionalFormatting>
  <conditionalFormatting sqref="K21:M21">
    <cfRule type="expression" dxfId="17" priority="136">
      <formula>$D$19=TRUE</formula>
    </cfRule>
  </conditionalFormatting>
  <conditionalFormatting sqref="K2:N9">
    <cfRule type="expression" dxfId="16" priority="4">
      <formula>OR($D$12=0,$D$12="")</formula>
    </cfRule>
  </conditionalFormatting>
  <conditionalFormatting sqref="K3:N9">
    <cfRule type="expression" dxfId="15" priority="133">
      <formula>OR($D$12="",$C$2="Probabilistico")</formula>
    </cfRule>
  </conditionalFormatting>
  <conditionalFormatting sqref="K16:N18">
    <cfRule type="expression" dxfId="14" priority="98">
      <formula>$C$3&lt;&gt;"Canillita"</formula>
    </cfRule>
  </conditionalFormatting>
  <conditionalFormatting sqref="K21:O22 M23:O25 K23:M31">
    <cfRule type="expression" dxfId="13" priority="137">
      <formula>$D$19=FALSE</formula>
    </cfRule>
  </conditionalFormatting>
  <conditionalFormatting sqref="K2:P2">
    <cfRule type="expression" dxfId="12" priority="114">
      <formula>AND($C$3=" Continua",$D$12&gt;0)</formula>
    </cfRule>
    <cfRule type="expression" dxfId="11" priority="125">
      <formula>AND($C$2="POQ",$D$12&gt;0)</formula>
    </cfRule>
    <cfRule type="expression" dxfId="10" priority="143">
      <formula>AND($C$2="EOQ",$D$12&gt;0)</formula>
    </cfRule>
  </conditionalFormatting>
  <conditionalFormatting sqref="K10:P10">
    <cfRule type="expression" dxfId="9" priority="5">
      <formula>$C$3="Canillita"</formula>
    </cfRule>
  </conditionalFormatting>
  <conditionalFormatting sqref="K20:P20">
    <cfRule type="expression" dxfId="8" priority="124">
      <formula>AND($C$2="POQ",$D$19=TRUE)</formula>
    </cfRule>
    <cfRule type="expression" dxfId="7" priority="141">
      <formula>AND($C$2="EOQ",$D$19=TRUE)</formula>
    </cfRule>
  </conditionalFormatting>
  <conditionalFormatting sqref="M22:M31">
    <cfRule type="top10" dxfId="6" priority="121" bottom="1" rank="1"/>
    <cfRule type="cellIs" dxfId="5" priority="130" operator="equal">
      <formula>$N$21</formula>
    </cfRule>
  </conditionalFormatting>
  <conditionalFormatting sqref="N21:O23">
    <cfRule type="expression" dxfId="4" priority="120">
      <formula>$D$19=TRUE</formula>
    </cfRule>
  </conditionalFormatting>
  <conditionalFormatting sqref="Q1:R1 Q2 Q3:R22">
    <cfRule type="expression" priority="75">
      <formula>$C$3="Periódica"</formula>
    </cfRule>
  </conditionalFormatting>
  <conditionalFormatting sqref="Q2:R2">
    <cfRule type="expression" dxfId="3" priority="74">
      <formula>$C$3="Periódica"</formula>
    </cfRule>
  </conditionalFormatting>
  <conditionalFormatting sqref="K20:P24">
    <cfRule type="expression" dxfId="2" priority="3">
      <formula>$C$3="Canillita"</formula>
    </cfRule>
  </conditionalFormatting>
  <conditionalFormatting sqref="B20:D31 E22">
    <cfRule type="expression" dxfId="1" priority="2">
      <formula>$C$3="Canillita"</formula>
    </cfRule>
  </conditionalFormatting>
  <conditionalFormatting sqref="B19:D31">
    <cfRule type="expression" dxfId="0" priority="1">
      <formula>$C$3="Canillita"</formula>
    </cfRule>
  </conditionalFormatting>
  <dataValidations count="1">
    <dataValidation type="whole" allowBlank="1" showInputMessage="1" showErrorMessage="1" sqref="D20" xr:uid="{D86515BA-FA4F-4930-87B2-2363FE7F7361}">
      <formula1>1</formula1>
      <formula2>9</formula2>
    </dataValidation>
  </dataValidations>
  <pageMargins left="0.7" right="0.7" top="0.75" bottom="0.75" header="0.3" footer="0.3"/>
  <pageSetup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88ED051-A016-4438-8CB4-1552CF83C0E3}">
          <x14:formula1>
            <xm:f>Hoja2!$A$1:$A$5</xm:f>
          </x14:formula1>
          <xm:sqref>D2</xm:sqref>
        </x14:dataValidation>
        <x14:dataValidation type="list" allowBlank="1" showInputMessage="1" showErrorMessage="1" xr:uid="{15233158-56A6-4BF5-9370-143AEAD74C1A}">
          <x14:formula1>
            <xm:f>Hoja2!$A$7:$A$13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6E309-6AAD-4F42-AB3C-A773038F6A09}">
  <sheetPr>
    <tabColor rgb="FF92D050"/>
  </sheetPr>
  <dimension ref="G1:AX29"/>
  <sheetViews>
    <sheetView workbookViewId="0">
      <selection activeCell="O1" sqref="O1:AQ1048576"/>
    </sheetView>
  </sheetViews>
  <sheetFormatPr baseColWidth="10" defaultRowHeight="15" x14ac:dyDescent="0.25"/>
  <cols>
    <col min="1" max="13" width="11.42578125" style="100"/>
    <col min="14" max="14" width="11.42578125" style="100" customWidth="1"/>
    <col min="15" max="29" width="11.42578125" style="100" hidden="1" customWidth="1"/>
    <col min="30" max="30" width="11.7109375" style="100" hidden="1" customWidth="1"/>
    <col min="31" max="31" width="11.42578125" style="100" hidden="1" customWidth="1"/>
    <col min="32" max="32" width="11.7109375" style="100" hidden="1" customWidth="1"/>
    <col min="33" max="43" width="11.42578125" style="100" hidden="1" customWidth="1"/>
    <col min="44" max="45" width="11.42578125" style="100" customWidth="1"/>
    <col min="46" max="16384" width="11.42578125" style="100"/>
  </cols>
  <sheetData>
    <row r="1" spans="7:50" ht="15.75" x14ac:dyDescent="0.25">
      <c r="G1" s="99"/>
      <c r="T1" s="101" t="s">
        <v>54</v>
      </c>
      <c r="U1" s="100" t="s">
        <v>165</v>
      </c>
      <c r="V1" s="100" t="s">
        <v>166</v>
      </c>
      <c r="W1" s="100" t="s">
        <v>167</v>
      </c>
      <c r="Y1" s="100" t="s">
        <v>169</v>
      </c>
      <c r="Z1" s="100" t="str">
        <f>modelo</f>
        <v>EOQ</v>
      </c>
      <c r="AA1" s="100" t="str">
        <f>Revision</f>
        <v>Deterministica</v>
      </c>
      <c r="AD1" s="100" t="s">
        <v>168</v>
      </c>
      <c r="AE1" s="100" t="s">
        <v>30</v>
      </c>
      <c r="AF1" s="100" t="s">
        <v>168</v>
      </c>
      <c r="AG1" s="100" t="s">
        <v>31</v>
      </c>
      <c r="AH1" s="100" t="s">
        <v>72</v>
      </c>
      <c r="AI1" s="100" t="s">
        <v>168</v>
      </c>
      <c r="AJ1" s="100" t="s">
        <v>174</v>
      </c>
      <c r="AK1" s="100" t="s">
        <v>72</v>
      </c>
      <c r="AL1" s="100" t="s">
        <v>73</v>
      </c>
      <c r="AM1" s="100" t="s">
        <v>58</v>
      </c>
      <c r="AO1" s="100" t="s">
        <v>168</v>
      </c>
      <c r="AP1" s="100" t="str">
        <f>IF(modelo="POQ","POQ",IF(Revision=" Continua","Continua","EOQ"))</f>
        <v>EOQ</v>
      </c>
      <c r="AQ1" s="100" t="str">
        <f>IF(OR(Revision="Canillita",Revision="Periódica"),"","R")</f>
        <v>R</v>
      </c>
      <c r="AR1" s="100" t="str">
        <f>IF(AND(AQ1="R",Revision=" Continua"),"S","")</f>
        <v/>
      </c>
      <c r="AS1" s="100" t="str">
        <f>IF(AND(AQ1="R",Revision=" Continua"),"R+S","")</f>
        <v/>
      </c>
    </row>
    <row r="2" spans="7:50" x14ac:dyDescent="0.25">
      <c r="O2" s="100" t="s">
        <v>102</v>
      </c>
      <c r="S2" s="102">
        <v>0.4</v>
      </c>
      <c r="T2" s="103">
        <f>$P$3*S2</f>
        <v>30.983866769659336</v>
      </c>
      <c r="U2" s="103">
        <f t="shared" ref="U2:U22" si="0">IF(Revision="Canillita","",Ka*Dem/T2)</f>
        <v>580.94750193111247</v>
      </c>
      <c r="V2" s="103">
        <f t="shared" ref="V2:V22" si="1">IF(modelo="POQ",((Prod-Dem)*T2/Prod)*(Hold/2),IF(Revision="Canillita","",T2*Hold/2))</f>
        <v>92.951600308978016</v>
      </c>
      <c r="W2" s="103">
        <f>U2+V2</f>
        <v>673.89910224009054</v>
      </c>
      <c r="X2" s="103">
        <f>MIN($W$2:$W$22)</f>
        <v>464.75800154489002</v>
      </c>
      <c r="Y2" s="100" t="str">
        <f>"lead= "&amp;Lead</f>
        <v>lead= 0,0192307692307692</v>
      </c>
      <c r="AB2" s="100">
        <v>2</v>
      </c>
      <c r="AD2" s="100">
        <v>0</v>
      </c>
      <c r="AE2" s="100">
        <f>Qop</f>
        <v>77.459666924148337</v>
      </c>
      <c r="AF2" s="100">
        <v>0</v>
      </c>
      <c r="AG2" s="100">
        <v>0</v>
      </c>
      <c r="AH2" s="100">
        <f t="shared" ref="AH2:AH20" si="2">erre</f>
        <v>3.4615384615384617</v>
      </c>
      <c r="AI2" s="100">
        <f>AD2</f>
        <v>0</v>
      </c>
      <c r="AJ2" s="100">
        <f>AE2</f>
        <v>77.459666924148337</v>
      </c>
      <c r="AK2" s="100">
        <f>AH2</f>
        <v>3.4615384615384617</v>
      </c>
      <c r="AL2" s="100">
        <f t="shared" ref="AL2:AL20" si="3">ese</f>
        <v>6.8430047222382093</v>
      </c>
      <c r="AM2" s="100">
        <f t="shared" ref="AM2:AM20" si="4">erre+ese</f>
        <v>10.304543183776671</v>
      </c>
      <c r="AO2" s="104">
        <f t="shared" ref="AO2:AO20" si="5">IF(OR(Revision="Canillita",Revision="Periódica"),"",IF(modelo="POQ",AF2,AI2))</f>
        <v>0</v>
      </c>
      <c r="AP2" s="100">
        <f t="shared" ref="AP2:AP20" si="6">IF(OR(Revision="Canillita",Revision="Periódica"),"",IF(modelo="POQ",AG2,AJ2))</f>
        <v>77.459666924148337</v>
      </c>
      <c r="AQ2" s="100">
        <f t="shared" ref="AQ2:AQ20" si="7">IF(OR(Revision="Canillita",Revision="Periódica"),"",IF(modelo="POQ",AH2,AK2))</f>
        <v>3.4615384615384617</v>
      </c>
      <c r="AR2" s="100" t="str">
        <f t="shared" ref="AR2:AR20" si="8">IF(Revision=" Continua",AL2,"")</f>
        <v/>
      </c>
      <c r="AS2" s="100" t="str">
        <f t="shared" ref="AS2:AS20" si="9">IF(Revision=" Continua",AM2,"")</f>
        <v/>
      </c>
      <c r="AU2" s="104"/>
      <c r="AX2" s="104"/>
    </row>
    <row r="3" spans="7:50" x14ac:dyDescent="0.25">
      <c r="O3" s="100" t="s">
        <v>164</v>
      </c>
      <c r="P3" s="100">
        <f>IF(Revision="Determinística",Qop,IF(modelo="Canillita","",Qop))</f>
        <v>77.459666924148337</v>
      </c>
      <c r="S3" s="102">
        <v>0.45</v>
      </c>
      <c r="T3" s="103">
        <f t="shared" ref="T3:T22" si="10">$P$3*S3</f>
        <v>34.856850115866756</v>
      </c>
      <c r="U3" s="103">
        <f t="shared" si="0"/>
        <v>516.39777949432221</v>
      </c>
      <c r="V3" s="103">
        <f t="shared" si="1"/>
        <v>104.57055034760026</v>
      </c>
      <c r="W3" s="103">
        <f t="shared" ref="W3:W22" si="11">U3+V3</f>
        <v>620.96832984192247</v>
      </c>
      <c r="X3" s="103">
        <f t="shared" ref="X3:X22" si="12">MIN($W$2:$W$22)</f>
        <v>464.75800154489002</v>
      </c>
      <c r="Y3" s="100" t="str">
        <f>"Te (T) "&amp;TentrQ</f>
        <v>Te (T) 0,430331482911935</v>
      </c>
      <c r="AB3" s="100">
        <v>3</v>
      </c>
      <c r="AD3" s="100">
        <f>IF(modelo="POQ",IF(rsd&gt;Tde,TentrQ-rsd,tprod),TentrQ-rsd)</f>
        <v>0.41110071368116596</v>
      </c>
      <c r="AE3" s="100">
        <f>erre</f>
        <v>3.4615384615384617</v>
      </c>
      <c r="AF3" s="100">
        <f>tprod</f>
        <v>8.6066296582387042E-2</v>
      </c>
      <c r="AG3" s="100">
        <f>Qmax</f>
        <v>61.967733539318672</v>
      </c>
      <c r="AH3" s="100">
        <f t="shared" si="2"/>
        <v>3.4615384615384617</v>
      </c>
      <c r="AI3" s="100">
        <f t="shared" ref="AI3:AI20" si="13">AD3</f>
        <v>0.41110071368116596</v>
      </c>
      <c r="AJ3" s="100">
        <f t="shared" ref="AJ3:AJ20" si="14">AE3</f>
        <v>3.4615384615384617</v>
      </c>
      <c r="AK3" s="100">
        <f t="shared" ref="AK3:AK20" si="15">AH3</f>
        <v>3.4615384615384617</v>
      </c>
      <c r="AL3" s="100">
        <f t="shared" si="3"/>
        <v>6.8430047222382093</v>
      </c>
      <c r="AM3" s="100">
        <f t="shared" si="4"/>
        <v>10.304543183776671</v>
      </c>
      <c r="AO3" s="104">
        <f t="shared" si="5"/>
        <v>0.41110071368116596</v>
      </c>
      <c r="AP3" s="100">
        <f t="shared" si="6"/>
        <v>3.4615384615384617</v>
      </c>
      <c r="AQ3" s="100">
        <f t="shared" si="7"/>
        <v>3.4615384615384617</v>
      </c>
      <c r="AR3" s="100" t="str">
        <f t="shared" si="8"/>
        <v/>
      </c>
      <c r="AS3" s="100" t="str">
        <f t="shared" si="9"/>
        <v/>
      </c>
      <c r="AU3" s="104"/>
      <c r="AX3" s="104"/>
    </row>
    <row r="4" spans="7:50" x14ac:dyDescent="0.25">
      <c r="S4" s="102">
        <v>0.5</v>
      </c>
      <c r="T4" s="103">
        <f t="shared" si="10"/>
        <v>38.729833462074168</v>
      </c>
      <c r="U4" s="103">
        <f t="shared" si="0"/>
        <v>464.75800154489002</v>
      </c>
      <c r="V4" s="103">
        <f t="shared" si="1"/>
        <v>116.18950038622251</v>
      </c>
      <c r="W4" s="103">
        <f t="shared" si="11"/>
        <v>580.94750193111258</v>
      </c>
      <c r="X4" s="103">
        <f t="shared" si="12"/>
        <v>464.75800154489002</v>
      </c>
      <c r="Y4" s="103">
        <f>MOD(Lead,V7)</f>
        <v>1.9230769230769232E-2</v>
      </c>
      <c r="Z4" s="100" t="s">
        <v>170</v>
      </c>
      <c r="AB4" s="100">
        <v>4</v>
      </c>
      <c r="AD4" s="100">
        <f>IF(modelo="POQ",IF(rsd&lt;Tde,TentrQ-rsd,tprod),TentrQ)</f>
        <v>0.43033148291193518</v>
      </c>
      <c r="AE4" s="100">
        <v>0</v>
      </c>
      <c r="AF4" s="100">
        <f>AF3+Tde</f>
        <v>3600.0860662965824</v>
      </c>
      <c r="AG4" s="100">
        <v>0</v>
      </c>
      <c r="AH4" s="100">
        <f t="shared" si="2"/>
        <v>3.4615384615384617</v>
      </c>
      <c r="AI4" s="100">
        <f t="shared" si="13"/>
        <v>0.43033148291193518</v>
      </c>
      <c r="AJ4" s="100">
        <f t="shared" si="14"/>
        <v>0</v>
      </c>
      <c r="AK4" s="100">
        <f t="shared" si="15"/>
        <v>3.4615384615384617</v>
      </c>
      <c r="AL4" s="100">
        <f t="shared" si="3"/>
        <v>6.8430047222382093</v>
      </c>
      <c r="AM4" s="100">
        <f t="shared" si="4"/>
        <v>10.304543183776671</v>
      </c>
      <c r="AO4" s="104">
        <f t="shared" si="5"/>
        <v>0.43033148291193518</v>
      </c>
      <c r="AP4" s="100">
        <f t="shared" si="6"/>
        <v>0</v>
      </c>
      <c r="AQ4" s="100">
        <f t="shared" si="7"/>
        <v>3.4615384615384617</v>
      </c>
      <c r="AR4" s="100" t="str">
        <f t="shared" si="8"/>
        <v/>
      </c>
      <c r="AS4" s="100" t="str">
        <f t="shared" si="9"/>
        <v/>
      </c>
      <c r="AU4" s="104"/>
      <c r="AX4" s="104"/>
    </row>
    <row r="5" spans="7:50" x14ac:dyDescent="0.25">
      <c r="S5" s="102">
        <v>0.55000000000000004</v>
      </c>
      <c r="T5" s="103">
        <f t="shared" si="10"/>
        <v>42.602816808281588</v>
      </c>
      <c r="U5" s="103">
        <f t="shared" si="0"/>
        <v>422.50727413171819</v>
      </c>
      <c r="V5" s="103">
        <f t="shared" si="1"/>
        <v>127.80845042484476</v>
      </c>
      <c r="W5" s="103">
        <f t="shared" si="11"/>
        <v>550.31572455656294</v>
      </c>
      <c r="X5" s="103">
        <f t="shared" si="12"/>
        <v>464.75800154489002</v>
      </c>
      <c r="Y5" s="100" t="str">
        <f>"Tiempo vaciado Tde = "</f>
        <v xml:space="preserve">Tiempo vaciado Tde = </v>
      </c>
      <c r="AA5" s="100">
        <f>MULTI27!H10</f>
        <v>3600</v>
      </c>
      <c r="AB5" s="100">
        <v>5</v>
      </c>
      <c r="AD5" s="100">
        <f>TentrQ</f>
        <v>0.43033148291193518</v>
      </c>
      <c r="AE5" s="100">
        <f>Qop</f>
        <v>77.459666924148337</v>
      </c>
      <c r="AF5" s="100">
        <f>AF4+tprod</f>
        <v>3600.1721325931649</v>
      </c>
      <c r="AG5" s="100">
        <f>Qmax</f>
        <v>61.967733539318672</v>
      </c>
      <c r="AH5" s="100">
        <f t="shared" si="2"/>
        <v>3.4615384615384617</v>
      </c>
      <c r="AI5" s="100">
        <f t="shared" si="13"/>
        <v>0.43033148291193518</v>
      </c>
      <c r="AJ5" s="100">
        <f t="shared" si="14"/>
        <v>77.459666924148337</v>
      </c>
      <c r="AK5" s="100">
        <f t="shared" si="15"/>
        <v>3.4615384615384617</v>
      </c>
      <c r="AL5" s="100">
        <f t="shared" si="3"/>
        <v>6.8430047222382093</v>
      </c>
      <c r="AM5" s="100">
        <f t="shared" si="4"/>
        <v>10.304543183776671</v>
      </c>
      <c r="AO5" s="104">
        <f t="shared" si="5"/>
        <v>0.43033148291193518</v>
      </c>
      <c r="AP5" s="100">
        <f t="shared" si="6"/>
        <v>77.459666924148337</v>
      </c>
      <c r="AQ5" s="100">
        <f t="shared" si="7"/>
        <v>3.4615384615384617</v>
      </c>
      <c r="AR5" s="100" t="str">
        <f t="shared" si="8"/>
        <v/>
      </c>
      <c r="AS5" s="100" t="str">
        <f t="shared" si="9"/>
        <v/>
      </c>
      <c r="AU5" s="104"/>
      <c r="AX5" s="104"/>
    </row>
    <row r="6" spans="7:50" x14ac:dyDescent="0.25">
      <c r="O6" s="100" t="s">
        <v>163</v>
      </c>
      <c r="S6" s="102">
        <v>0.6</v>
      </c>
      <c r="T6" s="103">
        <f t="shared" si="10"/>
        <v>46.475800154489001</v>
      </c>
      <c r="U6" s="103">
        <f t="shared" si="0"/>
        <v>387.29833462074168</v>
      </c>
      <c r="V6" s="103">
        <f t="shared" si="1"/>
        <v>139.427400463467</v>
      </c>
      <c r="W6" s="103">
        <f t="shared" si="11"/>
        <v>526.72573508420874</v>
      </c>
      <c r="X6" s="103">
        <f t="shared" si="12"/>
        <v>464.75800154489002</v>
      </c>
      <c r="Y6" s="100" t="str">
        <f>"tiempo producción tprod = "&amp;tprod</f>
        <v>tiempo producción tprod = 0,086066296582387</v>
      </c>
      <c r="AB6" s="100">
        <v>6</v>
      </c>
      <c r="AD6" s="100">
        <f>AD5+AD3</f>
        <v>0.84143219659310109</v>
      </c>
      <c r="AE6" s="100">
        <f>erre</f>
        <v>3.4615384615384617</v>
      </c>
      <c r="AF6" s="100">
        <f>AF5+Tde</f>
        <v>7200.1721325931649</v>
      </c>
      <c r="AG6" s="100">
        <v>0</v>
      </c>
      <c r="AH6" s="100">
        <f t="shared" si="2"/>
        <v>3.4615384615384617</v>
      </c>
      <c r="AI6" s="100">
        <f t="shared" si="13"/>
        <v>0.84143219659310109</v>
      </c>
      <c r="AJ6" s="100">
        <f t="shared" si="14"/>
        <v>3.4615384615384617</v>
      </c>
      <c r="AK6" s="100">
        <f t="shared" si="15"/>
        <v>3.4615384615384617</v>
      </c>
      <c r="AL6" s="100">
        <f t="shared" si="3"/>
        <v>6.8430047222382093</v>
      </c>
      <c r="AM6" s="100">
        <f t="shared" si="4"/>
        <v>10.304543183776671</v>
      </c>
      <c r="AO6" s="104">
        <f t="shared" si="5"/>
        <v>0.84143219659310109</v>
      </c>
      <c r="AP6" s="100">
        <f t="shared" si="6"/>
        <v>3.4615384615384617</v>
      </c>
      <c r="AQ6" s="100">
        <f t="shared" si="7"/>
        <v>3.4615384615384617</v>
      </c>
      <c r="AR6" s="100" t="str">
        <f t="shared" si="8"/>
        <v/>
      </c>
      <c r="AS6" s="100" t="str">
        <f t="shared" si="9"/>
        <v/>
      </c>
      <c r="AU6" s="104"/>
      <c r="AX6" s="104"/>
    </row>
    <row r="7" spans="7:50" x14ac:dyDescent="0.25">
      <c r="S7" s="102">
        <v>0.65</v>
      </c>
      <c r="T7" s="103">
        <f t="shared" si="10"/>
        <v>50.34878350069642</v>
      </c>
      <c r="U7" s="103">
        <f t="shared" si="0"/>
        <v>357.50615503453076</v>
      </c>
      <c r="V7" s="103">
        <f t="shared" si="1"/>
        <v>151.04635050208927</v>
      </c>
      <c r="W7" s="103">
        <f t="shared" si="11"/>
        <v>508.55250553662006</v>
      </c>
      <c r="X7" s="103">
        <f t="shared" si="12"/>
        <v>464.75800154489002</v>
      </c>
      <c r="AB7" s="100">
        <v>7</v>
      </c>
      <c r="AD7" s="100">
        <f>IF(modelo="POQ",IF(rsd&lt;Tde,AD3+TentrQ,AD4+TentrQ),AD4+TentrQ)</f>
        <v>0.86066296582387036</v>
      </c>
      <c r="AE7" s="100">
        <v>0</v>
      </c>
      <c r="AF7" s="100">
        <f>AF6+tprod</f>
        <v>7200.2581988897473</v>
      </c>
      <c r="AG7" s="100">
        <f>Qmax</f>
        <v>61.967733539318672</v>
      </c>
      <c r="AH7" s="100">
        <f t="shared" si="2"/>
        <v>3.4615384615384617</v>
      </c>
      <c r="AI7" s="100">
        <f t="shared" si="13"/>
        <v>0.86066296582387036</v>
      </c>
      <c r="AJ7" s="100">
        <f t="shared" si="14"/>
        <v>0</v>
      </c>
      <c r="AK7" s="100">
        <f t="shared" si="15"/>
        <v>3.4615384615384617</v>
      </c>
      <c r="AL7" s="100">
        <f t="shared" si="3"/>
        <v>6.8430047222382093</v>
      </c>
      <c r="AM7" s="100">
        <f t="shared" si="4"/>
        <v>10.304543183776671</v>
      </c>
      <c r="AO7" s="104">
        <f t="shared" si="5"/>
        <v>0.86066296582387036</v>
      </c>
      <c r="AP7" s="100">
        <f t="shared" si="6"/>
        <v>0</v>
      </c>
      <c r="AQ7" s="100">
        <f t="shared" si="7"/>
        <v>3.4615384615384617</v>
      </c>
      <c r="AR7" s="100" t="str">
        <f t="shared" si="8"/>
        <v/>
      </c>
      <c r="AS7" s="100" t="str">
        <f t="shared" si="9"/>
        <v/>
      </c>
      <c r="AU7" s="104"/>
      <c r="AX7" s="104"/>
    </row>
    <row r="8" spans="7:50" x14ac:dyDescent="0.25">
      <c r="S8" s="102">
        <v>0.7</v>
      </c>
      <c r="T8" s="103">
        <f t="shared" si="10"/>
        <v>54.221766846903833</v>
      </c>
      <c r="U8" s="103">
        <f t="shared" si="0"/>
        <v>331.9700011034929</v>
      </c>
      <c r="V8" s="103">
        <f t="shared" si="1"/>
        <v>162.66530054071148</v>
      </c>
      <c r="W8" s="103">
        <f t="shared" si="11"/>
        <v>494.63530164420439</v>
      </c>
      <c r="X8" s="103">
        <f t="shared" si="12"/>
        <v>464.75800154489002</v>
      </c>
      <c r="Y8" s="100" t="s">
        <v>172</v>
      </c>
      <c r="AB8" s="100">
        <v>8</v>
      </c>
      <c r="AD8" s="100">
        <f>AD5+TentrQ</f>
        <v>0.86066296582387036</v>
      </c>
      <c r="AE8" s="100">
        <f>Qop</f>
        <v>77.459666924148337</v>
      </c>
      <c r="AF8" s="100">
        <f>AF7+Tde</f>
        <v>10800.258198889747</v>
      </c>
      <c r="AG8" s="100">
        <v>0</v>
      </c>
      <c r="AH8" s="100">
        <f t="shared" si="2"/>
        <v>3.4615384615384617</v>
      </c>
      <c r="AI8" s="100">
        <f t="shared" si="13"/>
        <v>0.86066296582387036</v>
      </c>
      <c r="AJ8" s="100">
        <f t="shared" si="14"/>
        <v>77.459666924148337</v>
      </c>
      <c r="AK8" s="100">
        <f t="shared" si="15"/>
        <v>3.4615384615384617</v>
      </c>
      <c r="AL8" s="100">
        <f t="shared" si="3"/>
        <v>6.8430047222382093</v>
      </c>
      <c r="AM8" s="100">
        <f t="shared" si="4"/>
        <v>10.304543183776671</v>
      </c>
      <c r="AO8" s="104">
        <f t="shared" si="5"/>
        <v>0.86066296582387036</v>
      </c>
      <c r="AP8" s="100">
        <f t="shared" si="6"/>
        <v>77.459666924148337</v>
      </c>
      <c r="AQ8" s="100">
        <f t="shared" si="7"/>
        <v>3.4615384615384617</v>
      </c>
      <c r="AR8" s="100" t="str">
        <f t="shared" si="8"/>
        <v/>
      </c>
      <c r="AS8" s="100" t="str">
        <f t="shared" si="9"/>
        <v/>
      </c>
      <c r="AU8" s="104"/>
      <c r="AX8" s="104"/>
    </row>
    <row r="9" spans="7:50" x14ac:dyDescent="0.25">
      <c r="S9" s="102">
        <v>0.75</v>
      </c>
      <c r="T9" s="103">
        <f t="shared" si="10"/>
        <v>58.094750193111253</v>
      </c>
      <c r="U9" s="103">
        <f t="shared" si="0"/>
        <v>309.83866769659335</v>
      </c>
      <c r="V9" s="103">
        <f t="shared" si="1"/>
        <v>174.28425057933376</v>
      </c>
      <c r="W9" s="103">
        <f t="shared" si="11"/>
        <v>484.12291827592708</v>
      </c>
      <c r="X9" s="103">
        <f t="shared" si="12"/>
        <v>464.75800154489002</v>
      </c>
      <c r="Y9" s="100" t="s">
        <v>171</v>
      </c>
      <c r="AB9" s="100">
        <v>9</v>
      </c>
      <c r="AD9" s="100">
        <f>AD8+AD3</f>
        <v>1.2717636795050362</v>
      </c>
      <c r="AE9" s="100">
        <f>erre</f>
        <v>3.4615384615384617</v>
      </c>
      <c r="AF9" s="100">
        <f>AF8+tprod</f>
        <v>10800.34426518633</v>
      </c>
      <c r="AG9" s="100">
        <f>Qmax</f>
        <v>61.967733539318672</v>
      </c>
      <c r="AH9" s="100">
        <f t="shared" si="2"/>
        <v>3.4615384615384617</v>
      </c>
      <c r="AI9" s="100">
        <f t="shared" si="13"/>
        <v>1.2717636795050362</v>
      </c>
      <c r="AJ9" s="100">
        <f t="shared" si="14"/>
        <v>3.4615384615384617</v>
      </c>
      <c r="AK9" s="100">
        <f t="shared" si="15"/>
        <v>3.4615384615384617</v>
      </c>
      <c r="AL9" s="100">
        <f t="shared" si="3"/>
        <v>6.8430047222382093</v>
      </c>
      <c r="AM9" s="100">
        <f t="shared" si="4"/>
        <v>10.304543183776671</v>
      </c>
      <c r="AO9" s="104">
        <f t="shared" si="5"/>
        <v>1.2717636795050362</v>
      </c>
      <c r="AP9" s="100">
        <f t="shared" si="6"/>
        <v>3.4615384615384617</v>
      </c>
      <c r="AQ9" s="100">
        <f t="shared" si="7"/>
        <v>3.4615384615384617</v>
      </c>
      <c r="AR9" s="100" t="str">
        <f t="shared" si="8"/>
        <v/>
      </c>
      <c r="AS9" s="100" t="str">
        <f t="shared" si="9"/>
        <v/>
      </c>
      <c r="AU9" s="104"/>
      <c r="AX9" s="104"/>
    </row>
    <row r="10" spans="7:50" x14ac:dyDescent="0.25">
      <c r="S10" s="102">
        <v>0.8</v>
      </c>
      <c r="T10" s="103">
        <f t="shared" si="10"/>
        <v>61.967733539318672</v>
      </c>
      <c r="U10" s="103">
        <f t="shared" si="0"/>
        <v>290.47375096555623</v>
      </c>
      <c r="V10" s="103">
        <f t="shared" si="1"/>
        <v>185.90320061795603</v>
      </c>
      <c r="W10" s="103">
        <f t="shared" si="11"/>
        <v>476.37695158351227</v>
      </c>
      <c r="X10" s="103">
        <f t="shared" si="12"/>
        <v>464.75800154489002</v>
      </c>
      <c r="Y10" s="100" t="s">
        <v>173</v>
      </c>
      <c r="AB10" s="100">
        <v>10</v>
      </c>
      <c r="AD10" s="100">
        <f>AD7+TentrQ</f>
        <v>1.2909944487358056</v>
      </c>
      <c r="AE10" s="100">
        <v>0</v>
      </c>
      <c r="AF10" s="100">
        <f>AF9+Tde</f>
        <v>14400.34426518633</v>
      </c>
      <c r="AG10" s="100">
        <v>0</v>
      </c>
      <c r="AH10" s="100">
        <f t="shared" si="2"/>
        <v>3.4615384615384617</v>
      </c>
      <c r="AI10" s="100">
        <f t="shared" si="13"/>
        <v>1.2909944487358056</v>
      </c>
      <c r="AJ10" s="100">
        <f t="shared" si="14"/>
        <v>0</v>
      </c>
      <c r="AK10" s="100">
        <f t="shared" si="15"/>
        <v>3.4615384615384617</v>
      </c>
      <c r="AL10" s="100">
        <f t="shared" si="3"/>
        <v>6.8430047222382093</v>
      </c>
      <c r="AM10" s="100">
        <f t="shared" si="4"/>
        <v>10.304543183776671</v>
      </c>
      <c r="AO10" s="104">
        <f t="shared" si="5"/>
        <v>1.2909944487358056</v>
      </c>
      <c r="AP10" s="100">
        <f t="shared" si="6"/>
        <v>0</v>
      </c>
      <c r="AQ10" s="100">
        <f t="shared" si="7"/>
        <v>3.4615384615384617</v>
      </c>
      <c r="AR10" s="100" t="str">
        <f t="shared" si="8"/>
        <v/>
      </c>
      <c r="AS10" s="100" t="str">
        <f t="shared" si="9"/>
        <v/>
      </c>
      <c r="AU10" s="104"/>
      <c r="AX10" s="104"/>
    </row>
    <row r="11" spans="7:50" x14ac:dyDescent="0.25">
      <c r="S11" s="102">
        <v>0.85</v>
      </c>
      <c r="T11" s="103">
        <f t="shared" si="10"/>
        <v>65.840716885526078</v>
      </c>
      <c r="U11" s="103">
        <f t="shared" si="0"/>
        <v>273.38705973228826</v>
      </c>
      <c r="V11" s="103">
        <f t="shared" si="1"/>
        <v>197.52215065657822</v>
      </c>
      <c r="W11" s="103">
        <f t="shared" si="11"/>
        <v>470.90921038886648</v>
      </c>
      <c r="X11" s="103">
        <f t="shared" si="12"/>
        <v>464.75800154489002</v>
      </c>
      <c r="AB11" s="100">
        <v>11</v>
      </c>
      <c r="AC11" s="100" t="str">
        <f t="shared" ref="AC11:AC20" si="16">IF(modelo="Periodica","",IF(Revision="Canillita","","OK"))</f>
        <v>OK</v>
      </c>
      <c r="AD11" s="100">
        <f>AD8+TentrQ</f>
        <v>1.2909944487358056</v>
      </c>
      <c r="AE11" s="100">
        <f>Qop</f>
        <v>77.459666924148337</v>
      </c>
      <c r="AF11" s="100">
        <f>AF10+tprod</f>
        <v>14400.430331482912</v>
      </c>
      <c r="AG11" s="100">
        <f>Qmax</f>
        <v>61.967733539318672</v>
      </c>
      <c r="AH11" s="100">
        <f t="shared" si="2"/>
        <v>3.4615384615384617</v>
      </c>
      <c r="AI11" s="100">
        <f t="shared" si="13"/>
        <v>1.2909944487358056</v>
      </c>
      <c r="AJ11" s="100">
        <f t="shared" si="14"/>
        <v>77.459666924148337</v>
      </c>
      <c r="AK11" s="100">
        <f t="shared" si="15"/>
        <v>3.4615384615384617</v>
      </c>
      <c r="AL11" s="100">
        <f t="shared" si="3"/>
        <v>6.8430047222382093</v>
      </c>
      <c r="AM11" s="100">
        <f t="shared" si="4"/>
        <v>10.304543183776671</v>
      </c>
      <c r="AO11" s="104">
        <f t="shared" si="5"/>
        <v>1.2909944487358056</v>
      </c>
      <c r="AP11" s="100">
        <f t="shared" si="6"/>
        <v>77.459666924148337</v>
      </c>
      <c r="AQ11" s="100">
        <f t="shared" si="7"/>
        <v>3.4615384615384617</v>
      </c>
      <c r="AR11" s="100" t="str">
        <f t="shared" si="8"/>
        <v/>
      </c>
      <c r="AS11" s="100" t="str">
        <f t="shared" si="9"/>
        <v/>
      </c>
      <c r="AU11" s="104"/>
      <c r="AX11" s="104"/>
    </row>
    <row r="12" spans="7:50" x14ac:dyDescent="0.25">
      <c r="S12" s="102">
        <v>0.9</v>
      </c>
      <c r="T12" s="103">
        <f t="shared" si="10"/>
        <v>69.713700231733512</v>
      </c>
      <c r="U12" s="103">
        <f t="shared" si="0"/>
        <v>258.1988897471611</v>
      </c>
      <c r="V12" s="103">
        <f t="shared" si="1"/>
        <v>209.14110069520052</v>
      </c>
      <c r="W12" s="103">
        <f t="shared" si="11"/>
        <v>467.33999044236162</v>
      </c>
      <c r="X12" s="103">
        <f t="shared" si="12"/>
        <v>464.75800154489002</v>
      </c>
      <c r="AB12" s="100">
        <v>12</v>
      </c>
      <c r="AC12" s="100" t="str">
        <f t="shared" si="16"/>
        <v>OK</v>
      </c>
      <c r="AD12" s="100">
        <f>AD11+AD3</f>
        <v>1.7020951624169716</v>
      </c>
      <c r="AE12" s="100">
        <f>erre</f>
        <v>3.4615384615384617</v>
      </c>
      <c r="AF12" s="100">
        <f>AF11+Tde</f>
        <v>18000.430331482912</v>
      </c>
      <c r="AG12" s="100">
        <v>0</v>
      </c>
      <c r="AH12" s="100">
        <f t="shared" si="2"/>
        <v>3.4615384615384617</v>
      </c>
      <c r="AI12" s="100">
        <f t="shared" si="13"/>
        <v>1.7020951624169716</v>
      </c>
      <c r="AJ12" s="100">
        <f t="shared" si="14"/>
        <v>3.4615384615384617</v>
      </c>
      <c r="AK12" s="100">
        <f t="shared" si="15"/>
        <v>3.4615384615384617</v>
      </c>
      <c r="AL12" s="100">
        <f t="shared" si="3"/>
        <v>6.8430047222382093</v>
      </c>
      <c r="AM12" s="100">
        <f t="shared" si="4"/>
        <v>10.304543183776671</v>
      </c>
      <c r="AO12" s="104">
        <f t="shared" si="5"/>
        <v>1.7020951624169716</v>
      </c>
      <c r="AP12" s="100">
        <f t="shared" si="6"/>
        <v>3.4615384615384617</v>
      </c>
      <c r="AQ12" s="100">
        <f t="shared" si="7"/>
        <v>3.4615384615384617</v>
      </c>
      <c r="AR12" s="100" t="str">
        <f t="shared" si="8"/>
        <v/>
      </c>
      <c r="AS12" s="100" t="str">
        <f t="shared" si="9"/>
        <v/>
      </c>
      <c r="AU12" s="104"/>
      <c r="AX12" s="104"/>
    </row>
    <row r="13" spans="7:50" x14ac:dyDescent="0.25">
      <c r="S13" s="102">
        <v>0.95</v>
      </c>
      <c r="T13" s="103">
        <f t="shared" si="10"/>
        <v>73.586683577940917</v>
      </c>
      <c r="U13" s="103">
        <f t="shared" si="0"/>
        <v>244.60947449731054</v>
      </c>
      <c r="V13" s="103">
        <f t="shared" si="1"/>
        <v>220.76005073382277</v>
      </c>
      <c r="W13" s="103">
        <f t="shared" si="11"/>
        <v>465.36952523113331</v>
      </c>
      <c r="X13" s="103">
        <f t="shared" si="12"/>
        <v>464.75800154489002</v>
      </c>
      <c r="AB13" s="100">
        <v>13</v>
      </c>
      <c r="AC13" s="100" t="str">
        <f t="shared" si="16"/>
        <v>OK</v>
      </c>
      <c r="AD13" s="100">
        <f>AD10+TentrQ</f>
        <v>1.7213259316477407</v>
      </c>
      <c r="AE13" s="100">
        <v>0</v>
      </c>
      <c r="AF13" s="100">
        <f>AF12+tprod</f>
        <v>18000.516397779495</v>
      </c>
      <c r="AG13" s="100">
        <f>Qmax</f>
        <v>61.967733539318672</v>
      </c>
      <c r="AH13" s="100">
        <f t="shared" si="2"/>
        <v>3.4615384615384617</v>
      </c>
      <c r="AI13" s="100">
        <f t="shared" si="13"/>
        <v>1.7213259316477407</v>
      </c>
      <c r="AJ13" s="100">
        <f t="shared" si="14"/>
        <v>0</v>
      </c>
      <c r="AK13" s="100">
        <f t="shared" si="15"/>
        <v>3.4615384615384617</v>
      </c>
      <c r="AL13" s="100">
        <f t="shared" si="3"/>
        <v>6.8430047222382093</v>
      </c>
      <c r="AM13" s="100">
        <f t="shared" si="4"/>
        <v>10.304543183776671</v>
      </c>
      <c r="AO13" s="104">
        <f t="shared" si="5"/>
        <v>1.7213259316477407</v>
      </c>
      <c r="AP13" s="100">
        <f t="shared" si="6"/>
        <v>0</v>
      </c>
      <c r="AQ13" s="100">
        <f t="shared" si="7"/>
        <v>3.4615384615384617</v>
      </c>
      <c r="AR13" s="100" t="str">
        <f t="shared" si="8"/>
        <v/>
      </c>
      <c r="AS13" s="100" t="str">
        <f t="shared" si="9"/>
        <v/>
      </c>
      <c r="AU13" s="104"/>
      <c r="AX13" s="104"/>
    </row>
    <row r="14" spans="7:50" x14ac:dyDescent="0.25">
      <c r="S14" s="102">
        <v>1</v>
      </c>
      <c r="T14" s="103">
        <f t="shared" si="10"/>
        <v>77.459666924148337</v>
      </c>
      <c r="U14" s="103">
        <f t="shared" si="0"/>
        <v>232.37900077244501</v>
      </c>
      <c r="V14" s="103">
        <f t="shared" si="1"/>
        <v>232.37900077244501</v>
      </c>
      <c r="W14" s="103">
        <f t="shared" si="11"/>
        <v>464.75800154489002</v>
      </c>
      <c r="X14" s="103">
        <f t="shared" si="12"/>
        <v>464.75800154489002</v>
      </c>
      <c r="AB14" s="100">
        <v>14</v>
      </c>
      <c r="AC14" s="100" t="str">
        <f t="shared" si="16"/>
        <v>OK</v>
      </c>
      <c r="AD14" s="100">
        <f>AD11+TentrQ</f>
        <v>1.7213259316477407</v>
      </c>
      <c r="AE14" s="100">
        <f>Qop</f>
        <v>77.459666924148337</v>
      </c>
      <c r="AF14" s="100">
        <f>AF13+Tde</f>
        <v>21600.516397779495</v>
      </c>
      <c r="AG14" s="100">
        <v>0</v>
      </c>
      <c r="AH14" s="100">
        <f t="shared" si="2"/>
        <v>3.4615384615384617</v>
      </c>
      <c r="AI14" s="100">
        <f t="shared" si="13"/>
        <v>1.7213259316477407</v>
      </c>
      <c r="AJ14" s="100">
        <f t="shared" si="14"/>
        <v>77.459666924148337</v>
      </c>
      <c r="AK14" s="100">
        <f t="shared" si="15"/>
        <v>3.4615384615384617</v>
      </c>
      <c r="AL14" s="100">
        <f t="shared" si="3"/>
        <v>6.8430047222382093</v>
      </c>
      <c r="AM14" s="100">
        <f t="shared" si="4"/>
        <v>10.304543183776671</v>
      </c>
      <c r="AO14" s="104">
        <f t="shared" si="5"/>
        <v>1.7213259316477407</v>
      </c>
      <c r="AP14" s="100">
        <f t="shared" si="6"/>
        <v>77.459666924148337</v>
      </c>
      <c r="AQ14" s="100">
        <f t="shared" si="7"/>
        <v>3.4615384615384617</v>
      </c>
      <c r="AR14" s="100" t="str">
        <f t="shared" si="8"/>
        <v/>
      </c>
      <c r="AS14" s="100" t="str">
        <f t="shared" si="9"/>
        <v/>
      </c>
      <c r="AU14" s="104"/>
      <c r="AX14" s="104"/>
    </row>
    <row r="15" spans="7:50" x14ac:dyDescent="0.25">
      <c r="S15" s="102">
        <v>1.05</v>
      </c>
      <c r="T15" s="103">
        <f t="shared" si="10"/>
        <v>81.332650270355757</v>
      </c>
      <c r="U15" s="103">
        <f t="shared" si="0"/>
        <v>221.31333406899523</v>
      </c>
      <c r="V15" s="103">
        <f t="shared" si="1"/>
        <v>243.99795081106726</v>
      </c>
      <c r="W15" s="103">
        <f t="shared" si="11"/>
        <v>465.31128488006249</v>
      </c>
      <c r="X15" s="103">
        <f t="shared" si="12"/>
        <v>464.75800154489002</v>
      </c>
      <c r="AB15" s="100">
        <v>15</v>
      </c>
      <c r="AC15" s="100" t="str">
        <f t="shared" si="16"/>
        <v>OK</v>
      </c>
      <c r="AD15" s="100">
        <f>AD14+AD3</f>
        <v>2.1324266453289065</v>
      </c>
      <c r="AE15" s="100">
        <f>erre</f>
        <v>3.4615384615384617</v>
      </c>
      <c r="AF15" s="100">
        <f>AF14+tprod</f>
        <v>21600.602464076077</v>
      </c>
      <c r="AG15" s="100">
        <f>Qmax</f>
        <v>61.967733539318672</v>
      </c>
      <c r="AH15" s="100">
        <f t="shared" si="2"/>
        <v>3.4615384615384617</v>
      </c>
      <c r="AI15" s="100">
        <f t="shared" si="13"/>
        <v>2.1324266453289065</v>
      </c>
      <c r="AJ15" s="100">
        <f t="shared" si="14"/>
        <v>3.4615384615384617</v>
      </c>
      <c r="AK15" s="100">
        <f t="shared" si="15"/>
        <v>3.4615384615384617</v>
      </c>
      <c r="AL15" s="100">
        <f t="shared" si="3"/>
        <v>6.8430047222382093</v>
      </c>
      <c r="AM15" s="100">
        <f t="shared" si="4"/>
        <v>10.304543183776671</v>
      </c>
      <c r="AO15" s="104">
        <f t="shared" si="5"/>
        <v>2.1324266453289065</v>
      </c>
      <c r="AP15" s="100">
        <f t="shared" si="6"/>
        <v>3.4615384615384617</v>
      </c>
      <c r="AQ15" s="100">
        <f t="shared" si="7"/>
        <v>3.4615384615384617</v>
      </c>
      <c r="AR15" s="100" t="str">
        <f t="shared" si="8"/>
        <v/>
      </c>
      <c r="AS15" s="100" t="str">
        <f t="shared" si="9"/>
        <v/>
      </c>
      <c r="AU15" s="104"/>
      <c r="AX15" s="104"/>
    </row>
    <row r="16" spans="7:50" x14ac:dyDescent="0.25">
      <c r="S16" s="102">
        <v>1.1000000000000001</v>
      </c>
      <c r="T16" s="103">
        <f t="shared" si="10"/>
        <v>85.205633616563176</v>
      </c>
      <c r="U16" s="103">
        <f t="shared" si="0"/>
        <v>211.2536370658591</v>
      </c>
      <c r="V16" s="103">
        <f t="shared" si="1"/>
        <v>255.61690084968953</v>
      </c>
      <c r="W16" s="103">
        <f t="shared" si="11"/>
        <v>466.87053791554865</v>
      </c>
      <c r="X16" s="103">
        <f t="shared" si="12"/>
        <v>464.75800154489002</v>
      </c>
      <c r="AB16" s="100">
        <v>16</v>
      </c>
      <c r="AC16" s="100" t="str">
        <f t="shared" si="16"/>
        <v>OK</v>
      </c>
      <c r="AD16" s="100">
        <f>AD13+TentrQ</f>
        <v>2.1516574145596761</v>
      </c>
      <c r="AE16" s="100">
        <v>0</v>
      </c>
      <c r="AF16" s="100">
        <f>AF15+Tde</f>
        <v>25200.602464076077</v>
      </c>
      <c r="AG16" s="100">
        <v>0</v>
      </c>
      <c r="AH16" s="100">
        <f t="shared" si="2"/>
        <v>3.4615384615384617</v>
      </c>
      <c r="AI16" s="100">
        <f t="shared" si="13"/>
        <v>2.1516574145596761</v>
      </c>
      <c r="AJ16" s="100">
        <f t="shared" si="14"/>
        <v>0</v>
      </c>
      <c r="AK16" s="100">
        <f t="shared" si="15"/>
        <v>3.4615384615384617</v>
      </c>
      <c r="AL16" s="100">
        <f t="shared" si="3"/>
        <v>6.8430047222382093</v>
      </c>
      <c r="AM16" s="100">
        <f t="shared" si="4"/>
        <v>10.304543183776671</v>
      </c>
      <c r="AO16" s="104">
        <f t="shared" si="5"/>
        <v>2.1516574145596761</v>
      </c>
      <c r="AP16" s="100">
        <f t="shared" si="6"/>
        <v>0</v>
      </c>
      <c r="AQ16" s="100">
        <f t="shared" si="7"/>
        <v>3.4615384615384617</v>
      </c>
      <c r="AR16" s="100" t="str">
        <f t="shared" si="8"/>
        <v/>
      </c>
      <c r="AS16" s="100" t="str">
        <f t="shared" si="9"/>
        <v/>
      </c>
      <c r="AU16" s="104"/>
      <c r="AX16" s="104"/>
    </row>
    <row r="17" spans="19:50" x14ac:dyDescent="0.25">
      <c r="S17" s="102">
        <v>1.1499999999999999</v>
      </c>
      <c r="T17" s="103">
        <f t="shared" si="10"/>
        <v>89.078616962770582</v>
      </c>
      <c r="U17" s="103">
        <f t="shared" si="0"/>
        <v>202.06869632386525</v>
      </c>
      <c r="V17" s="103">
        <f t="shared" si="1"/>
        <v>267.23585088831175</v>
      </c>
      <c r="W17" s="103">
        <f t="shared" si="11"/>
        <v>469.304547212177</v>
      </c>
      <c r="X17" s="103">
        <f t="shared" si="12"/>
        <v>464.75800154489002</v>
      </c>
      <c r="AB17" s="100">
        <v>17</v>
      </c>
      <c r="AC17" s="100" t="str">
        <f t="shared" si="16"/>
        <v>OK</v>
      </c>
      <c r="AD17" s="100">
        <f>AD14+TentrQ</f>
        <v>2.1516574145596761</v>
      </c>
      <c r="AE17" s="100">
        <f>Qop</f>
        <v>77.459666924148337</v>
      </c>
      <c r="AF17" s="100">
        <f>AF16+tprod</f>
        <v>25200.688530372659</v>
      </c>
      <c r="AG17" s="100">
        <f>Qmax</f>
        <v>61.967733539318672</v>
      </c>
      <c r="AH17" s="100">
        <f t="shared" si="2"/>
        <v>3.4615384615384617</v>
      </c>
      <c r="AI17" s="100">
        <f t="shared" si="13"/>
        <v>2.1516574145596761</v>
      </c>
      <c r="AJ17" s="100">
        <f t="shared" si="14"/>
        <v>77.459666924148337</v>
      </c>
      <c r="AK17" s="100">
        <f t="shared" si="15"/>
        <v>3.4615384615384617</v>
      </c>
      <c r="AL17" s="100">
        <f t="shared" si="3"/>
        <v>6.8430047222382093</v>
      </c>
      <c r="AM17" s="100">
        <f t="shared" si="4"/>
        <v>10.304543183776671</v>
      </c>
      <c r="AO17" s="104">
        <f t="shared" si="5"/>
        <v>2.1516574145596761</v>
      </c>
      <c r="AP17" s="100">
        <f t="shared" si="6"/>
        <v>77.459666924148337</v>
      </c>
      <c r="AQ17" s="100">
        <f t="shared" si="7"/>
        <v>3.4615384615384617</v>
      </c>
      <c r="AR17" s="100" t="str">
        <f t="shared" si="8"/>
        <v/>
      </c>
      <c r="AS17" s="100" t="str">
        <f t="shared" si="9"/>
        <v/>
      </c>
      <c r="AU17" s="104"/>
      <c r="AX17" s="104"/>
    </row>
    <row r="18" spans="19:50" x14ac:dyDescent="0.25">
      <c r="S18" s="102">
        <v>1.2</v>
      </c>
      <c r="T18" s="103">
        <f t="shared" si="10"/>
        <v>92.951600308978001</v>
      </c>
      <c r="U18" s="103">
        <f t="shared" si="0"/>
        <v>193.64916731037084</v>
      </c>
      <c r="V18" s="103">
        <f t="shared" si="1"/>
        <v>278.85480092693399</v>
      </c>
      <c r="W18" s="103">
        <f t="shared" si="11"/>
        <v>472.50396823730483</v>
      </c>
      <c r="X18" s="103">
        <f t="shared" si="12"/>
        <v>464.75800154489002</v>
      </c>
      <c r="AB18" s="100">
        <v>18</v>
      </c>
      <c r="AC18" s="100" t="str">
        <f t="shared" si="16"/>
        <v>OK</v>
      </c>
      <c r="AD18" s="100">
        <f>AD17+AD3</f>
        <v>2.562758128240842</v>
      </c>
      <c r="AE18" s="100">
        <f>erre</f>
        <v>3.4615384615384617</v>
      </c>
      <c r="AF18" s="100">
        <f>AF17+Tde</f>
        <v>28800.688530372659</v>
      </c>
      <c r="AG18" s="100">
        <v>0</v>
      </c>
      <c r="AH18" s="100">
        <f t="shared" si="2"/>
        <v>3.4615384615384617</v>
      </c>
      <c r="AI18" s="100">
        <f t="shared" si="13"/>
        <v>2.562758128240842</v>
      </c>
      <c r="AJ18" s="100">
        <f t="shared" si="14"/>
        <v>3.4615384615384617</v>
      </c>
      <c r="AK18" s="100">
        <f t="shared" si="15"/>
        <v>3.4615384615384617</v>
      </c>
      <c r="AL18" s="100">
        <f t="shared" si="3"/>
        <v>6.8430047222382093</v>
      </c>
      <c r="AM18" s="100">
        <f t="shared" si="4"/>
        <v>10.304543183776671</v>
      </c>
      <c r="AO18" s="104">
        <f t="shared" si="5"/>
        <v>2.562758128240842</v>
      </c>
      <c r="AP18" s="100">
        <f t="shared" si="6"/>
        <v>3.4615384615384617</v>
      </c>
      <c r="AQ18" s="100">
        <f t="shared" si="7"/>
        <v>3.4615384615384617</v>
      </c>
      <c r="AR18" s="100" t="str">
        <f t="shared" si="8"/>
        <v/>
      </c>
      <c r="AS18" s="100" t="str">
        <f t="shared" si="9"/>
        <v/>
      </c>
      <c r="AU18" s="104"/>
      <c r="AX18" s="104"/>
    </row>
    <row r="19" spans="19:50" x14ac:dyDescent="0.25">
      <c r="S19" s="102">
        <v>1.25</v>
      </c>
      <c r="T19" s="103">
        <f t="shared" si="10"/>
        <v>96.824583655185421</v>
      </c>
      <c r="U19" s="103">
        <f t="shared" si="0"/>
        <v>185.903200617956</v>
      </c>
      <c r="V19" s="103">
        <f t="shared" si="1"/>
        <v>290.47375096555629</v>
      </c>
      <c r="W19" s="103">
        <f t="shared" si="11"/>
        <v>476.37695158351232</v>
      </c>
      <c r="X19" s="103">
        <f t="shared" si="12"/>
        <v>464.75800154489002</v>
      </c>
      <c r="AB19" s="100">
        <v>19</v>
      </c>
      <c r="AC19" s="100" t="str">
        <f t="shared" si="16"/>
        <v>OK</v>
      </c>
      <c r="AD19" s="100">
        <f>AD16+TentrQ</f>
        <v>2.5819888974716112</v>
      </c>
      <c r="AE19" s="100">
        <v>0</v>
      </c>
      <c r="AF19" s="100">
        <f>AF18+tprod</f>
        <v>28800.774596669242</v>
      </c>
      <c r="AG19" s="100">
        <f>Qmax</f>
        <v>61.967733539318672</v>
      </c>
      <c r="AH19" s="100">
        <f t="shared" si="2"/>
        <v>3.4615384615384617</v>
      </c>
      <c r="AI19" s="100">
        <f t="shared" si="13"/>
        <v>2.5819888974716112</v>
      </c>
      <c r="AJ19" s="100">
        <f t="shared" si="14"/>
        <v>0</v>
      </c>
      <c r="AK19" s="100">
        <f t="shared" si="15"/>
        <v>3.4615384615384617</v>
      </c>
      <c r="AL19" s="100">
        <f t="shared" si="3"/>
        <v>6.8430047222382093</v>
      </c>
      <c r="AM19" s="100">
        <f t="shared" si="4"/>
        <v>10.304543183776671</v>
      </c>
      <c r="AO19" s="104">
        <f t="shared" si="5"/>
        <v>2.5819888974716112</v>
      </c>
      <c r="AP19" s="100">
        <f t="shared" si="6"/>
        <v>0</v>
      </c>
      <c r="AQ19" s="100">
        <f t="shared" si="7"/>
        <v>3.4615384615384617</v>
      </c>
      <c r="AR19" s="100" t="str">
        <f t="shared" si="8"/>
        <v/>
      </c>
      <c r="AS19" s="100" t="str">
        <f t="shared" si="9"/>
        <v/>
      </c>
      <c r="AU19" s="104"/>
      <c r="AX19" s="104"/>
    </row>
    <row r="20" spans="19:50" x14ac:dyDescent="0.25">
      <c r="S20" s="102">
        <v>1.3</v>
      </c>
      <c r="T20" s="103">
        <f t="shared" si="10"/>
        <v>100.69756700139284</v>
      </c>
      <c r="U20" s="103">
        <f t="shared" si="0"/>
        <v>178.75307751726538</v>
      </c>
      <c r="V20" s="103">
        <f t="shared" si="1"/>
        <v>302.09270100417854</v>
      </c>
      <c r="W20" s="103">
        <f t="shared" si="11"/>
        <v>480.84577852144389</v>
      </c>
      <c r="X20" s="103">
        <f t="shared" si="12"/>
        <v>464.75800154489002</v>
      </c>
      <c r="AB20" s="100">
        <v>20</v>
      </c>
      <c r="AC20" s="100" t="str">
        <f t="shared" si="16"/>
        <v>OK</v>
      </c>
      <c r="AD20" s="100">
        <f>IF(modelo="EOQ",AD19,AD17+TentrQ)</f>
        <v>2.5819888974716112</v>
      </c>
      <c r="AE20" s="100">
        <f>Qop</f>
        <v>77.459666924148337</v>
      </c>
      <c r="AF20" s="100">
        <f>AF19+Tde</f>
        <v>32400.774596669242</v>
      </c>
      <c r="AG20" s="100">
        <v>0</v>
      </c>
      <c r="AH20" s="100">
        <f t="shared" si="2"/>
        <v>3.4615384615384617</v>
      </c>
      <c r="AI20" s="100">
        <f t="shared" si="13"/>
        <v>2.5819888974716112</v>
      </c>
      <c r="AJ20" s="100">
        <f t="shared" si="14"/>
        <v>77.459666924148337</v>
      </c>
      <c r="AK20" s="100">
        <f t="shared" si="15"/>
        <v>3.4615384615384617</v>
      </c>
      <c r="AL20" s="100">
        <f t="shared" si="3"/>
        <v>6.8430047222382093</v>
      </c>
      <c r="AM20" s="100">
        <f t="shared" si="4"/>
        <v>10.304543183776671</v>
      </c>
      <c r="AO20" s="104">
        <f t="shared" si="5"/>
        <v>2.5819888974716112</v>
      </c>
      <c r="AP20" s="100">
        <f t="shared" si="6"/>
        <v>77.459666924148337</v>
      </c>
      <c r="AQ20" s="100">
        <f t="shared" si="7"/>
        <v>3.4615384615384617</v>
      </c>
      <c r="AR20" s="100" t="str">
        <f t="shared" si="8"/>
        <v/>
      </c>
      <c r="AS20" s="100" t="str">
        <f t="shared" si="9"/>
        <v/>
      </c>
      <c r="AU20" s="104"/>
      <c r="AX20" s="104"/>
    </row>
    <row r="21" spans="19:50" x14ac:dyDescent="0.25">
      <c r="S21" s="102">
        <v>1.35</v>
      </c>
      <c r="T21" s="103">
        <f t="shared" si="10"/>
        <v>104.57055034760026</v>
      </c>
      <c r="U21" s="103">
        <f t="shared" si="0"/>
        <v>172.13259316477408</v>
      </c>
      <c r="V21" s="103">
        <f t="shared" si="1"/>
        <v>313.71165104280078</v>
      </c>
      <c r="W21" s="103">
        <f t="shared" si="11"/>
        <v>485.84424420757489</v>
      </c>
      <c r="X21" s="103">
        <f t="shared" si="12"/>
        <v>464.75800154489002</v>
      </c>
    </row>
    <row r="22" spans="19:50" x14ac:dyDescent="0.25">
      <c r="S22" s="102">
        <v>1.4</v>
      </c>
      <c r="T22" s="103">
        <f t="shared" si="10"/>
        <v>108.44353369380767</v>
      </c>
      <c r="U22" s="103">
        <f t="shared" si="0"/>
        <v>165.98500055174645</v>
      </c>
      <c r="V22" s="103">
        <f t="shared" si="1"/>
        <v>325.33060108142297</v>
      </c>
      <c r="W22" s="103">
        <f t="shared" si="11"/>
        <v>491.31560163316942</v>
      </c>
      <c r="X22" s="103">
        <f t="shared" si="12"/>
        <v>464.75800154489002</v>
      </c>
      <c r="AD22" s="100" t="str">
        <f>IF(Revision="Canillita","Grafico ","")</f>
        <v/>
      </c>
    </row>
    <row r="23" spans="19:50" x14ac:dyDescent="0.25">
      <c r="X23" s="103"/>
      <c r="AE23" s="100" t="str">
        <f>IF(Revision="Canillita","Canillita","")</f>
        <v/>
      </c>
    </row>
    <row r="24" spans="19:50" x14ac:dyDescent="0.25">
      <c r="X24" s="103"/>
      <c r="AD24" s="100" t="str">
        <f>IF(Revision="Canillita",0,"")</f>
        <v/>
      </c>
      <c r="AE24" s="100" t="str">
        <f>IF(Revision="Canillita",Smax,"")</f>
        <v/>
      </c>
    </row>
    <row r="25" spans="19:50" x14ac:dyDescent="0.25">
      <c r="X25" s="103"/>
      <c r="AD25" s="100" t="str">
        <f>IF(Revision="Canillita",TpoNeg,"")</f>
        <v/>
      </c>
      <c r="AE25" s="100" t="str">
        <f>IF(Revision="Canillita",0,"")</f>
        <v/>
      </c>
    </row>
    <row r="26" spans="19:50" x14ac:dyDescent="0.25">
      <c r="X26" s="103"/>
      <c r="AD26" s="100" t="str">
        <f>IF(Revision="Canillita",TpoPos,"")</f>
        <v/>
      </c>
      <c r="AE26" s="100" t="str">
        <f>IF(Revision="Canillita",Imax,"")</f>
        <v/>
      </c>
    </row>
    <row r="27" spans="19:50" x14ac:dyDescent="0.25">
      <c r="X27" s="103"/>
      <c r="AD27" s="100" t="str">
        <f>IF(Revision="Canillita",Durac,"")</f>
        <v/>
      </c>
      <c r="AE27" s="100" t="str">
        <f>IF(Revision="Canillita",0,"")</f>
        <v/>
      </c>
    </row>
    <row r="28" spans="19:50" x14ac:dyDescent="0.25">
      <c r="X28" s="103"/>
      <c r="AD28" s="100" t="str">
        <f>IF(Revision="Canillita",AD27,"")</f>
        <v/>
      </c>
      <c r="AE28" s="100" t="str">
        <f>IF(Revision="Canillita",Smax,"")</f>
        <v/>
      </c>
    </row>
    <row r="29" spans="19:50" x14ac:dyDescent="0.25">
      <c r="X29" s="103"/>
      <c r="AD29" s="100" t="str">
        <f>IF(Revision="Canillita",AD28+AD25+AD26,"")</f>
        <v/>
      </c>
      <c r="AE29" s="100" t="str">
        <f>AE26</f>
        <v/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373E0-B46A-42BE-8CAF-A83F6A4FD095}">
  <dimension ref="A1:Y31"/>
  <sheetViews>
    <sheetView topLeftCell="J1" workbookViewId="0">
      <selection activeCell="R4" sqref="R4"/>
    </sheetView>
  </sheetViews>
  <sheetFormatPr baseColWidth="10" defaultRowHeight="15" x14ac:dyDescent="0.25"/>
  <cols>
    <col min="5" max="5" width="17.7109375" bestFit="1" customWidth="1"/>
    <col min="7" max="7" width="15.5703125" bestFit="1" customWidth="1"/>
    <col min="8" max="8" width="14.140625" customWidth="1"/>
    <col min="11" max="11" width="11.7109375" bestFit="1" customWidth="1"/>
    <col min="13" max="13" width="11.7109375" bestFit="1" customWidth="1"/>
  </cols>
  <sheetData>
    <row r="1" spans="1:17" x14ac:dyDescent="0.25">
      <c r="A1" t="s">
        <v>30</v>
      </c>
      <c r="C1" s="7" t="str">
        <f>MULTI27!C2</f>
        <v>EOQ</v>
      </c>
      <c r="D1" s="7"/>
      <c r="E1" s="6"/>
      <c r="G1" t="s">
        <v>98</v>
      </c>
      <c r="J1" t="s">
        <v>123</v>
      </c>
      <c r="O1" t="s">
        <v>180</v>
      </c>
    </row>
    <row r="2" spans="1:17" x14ac:dyDescent="0.25">
      <c r="A2" t="s">
        <v>31</v>
      </c>
      <c r="C2" s="7" t="str">
        <f>MULTI27!C3</f>
        <v>Deterministica</v>
      </c>
      <c r="D2" s="7"/>
      <c r="E2" s="6"/>
      <c r="G2" t="s">
        <v>104</v>
      </c>
      <c r="H2" s="22">
        <f>IFERROR(IF(modelo="POQ",SQRT(2*Dem*Ka/(Hold*((Prod-Dem)/Prod))),SQRT(2*Dem*Ka/Hold)),"Faltan datos")</f>
        <v>77.459666924148337</v>
      </c>
      <c r="J2" t="s">
        <v>124</v>
      </c>
      <c r="K2">
        <f>Dem</f>
        <v>180</v>
      </c>
      <c r="L2" t="s">
        <v>132</v>
      </c>
      <c r="M2" t="e">
        <f>Ka*Dem/QoptCACA</f>
        <v>#VALUE!</v>
      </c>
      <c r="O2" t="s">
        <v>183</v>
      </c>
      <c r="P2" t="str">
        <f>mu</f>
        <v/>
      </c>
      <c r="Q2" t="s">
        <v>186</v>
      </c>
    </row>
    <row r="3" spans="1:17" x14ac:dyDescent="0.25">
      <c r="A3" t="s">
        <v>40</v>
      </c>
      <c r="C3" s="7" t="str">
        <f>MULTI27!D4</f>
        <v>año</v>
      </c>
      <c r="D3" s="8"/>
      <c r="E3" s="6"/>
      <c r="G3" t="s">
        <v>105</v>
      </c>
      <c r="H3" s="22">
        <f>IFERROR(Ka*Dem/Qop,"Faltan datos")</f>
        <v>232.37900077244501</v>
      </c>
      <c r="J3" t="s">
        <v>22</v>
      </c>
      <c r="K3">
        <f>Ka</f>
        <v>100</v>
      </c>
      <c r="L3" t="s">
        <v>133</v>
      </c>
      <c r="M3" t="e">
        <f>Imax*Hold/(2)</f>
        <v>#VALUE!</v>
      </c>
      <c r="O3" t="s">
        <v>22</v>
      </c>
      <c r="P3">
        <f>Ka</f>
        <v>100</v>
      </c>
      <c r="Q3" t="s">
        <v>188</v>
      </c>
    </row>
    <row r="4" spans="1:17" x14ac:dyDescent="0.25">
      <c r="A4" t="s">
        <v>41</v>
      </c>
      <c r="C4" s="7" t="s">
        <v>4</v>
      </c>
      <c r="D4" s="8" t="s">
        <v>17</v>
      </c>
      <c r="E4" s="6">
        <f>Dem</f>
        <v>180</v>
      </c>
      <c r="G4" t="s">
        <v>106</v>
      </c>
      <c r="H4" s="22">
        <f>IFERROR(IF(Revision=" Continua",Hold*((Qop/2)+ese),IF(modelo="POQ",(Hold/2)*((Prod-Dem)*(Qop/Prod)),Hold*Qop/2)),"Faltan datos")</f>
        <v>232.37900077244501</v>
      </c>
      <c r="J4" t="s">
        <v>29</v>
      </c>
      <c r="K4">
        <f>IF(Hold="",1,Hold)</f>
        <v>6</v>
      </c>
      <c r="L4" t="s">
        <v>134</v>
      </c>
      <c r="M4" t="e">
        <f>Faltante*(Smax^2)/(2*QopCan)</f>
        <v>#VALUE!</v>
      </c>
      <c r="O4" t="s">
        <v>29</v>
      </c>
      <c r="P4">
        <f>Hold</f>
        <v>6</v>
      </c>
      <c r="Q4" t="s">
        <v>189</v>
      </c>
    </row>
    <row r="5" spans="1:17" x14ac:dyDescent="0.25">
      <c r="A5" t="s">
        <v>39</v>
      </c>
      <c r="C5" s="7" t="s">
        <v>5</v>
      </c>
      <c r="D5" s="8" t="s">
        <v>18</v>
      </c>
      <c r="E5" s="6">
        <f>Prod</f>
        <v>900</v>
      </c>
      <c r="G5" t="s">
        <v>107</v>
      </c>
      <c r="H5" s="22">
        <f>IF(Revision="Canillita",Costo*QoptCACA,Costo*Dem)</f>
        <v>3600</v>
      </c>
      <c r="J5" t="s">
        <v>125</v>
      </c>
      <c r="K5">
        <f>Peve-Costo+Multa</f>
        <v>50</v>
      </c>
      <c r="L5" t="s">
        <v>80</v>
      </c>
      <c r="M5" t="e">
        <f>Cpe+Calca+Cesc</f>
        <v>#VALUE!</v>
      </c>
      <c r="O5" t="s">
        <v>195</v>
      </c>
      <c r="P5">
        <f>Peve</f>
        <v>50</v>
      </c>
      <c r="Q5" t="s">
        <v>190</v>
      </c>
    </row>
    <row r="6" spans="1:17" x14ac:dyDescent="0.25">
      <c r="C6" s="7" t="s">
        <v>6</v>
      </c>
      <c r="D6" s="8" t="s">
        <v>20</v>
      </c>
      <c r="E6" s="6">
        <f>Costo</f>
        <v>20</v>
      </c>
      <c r="G6" t="s">
        <v>108</v>
      </c>
      <c r="H6" s="22">
        <f>SUM(H3:H5)</f>
        <v>4064.7580015448902</v>
      </c>
      <c r="J6" t="s">
        <v>126</v>
      </c>
      <c r="K6" t="e">
        <f>QoptCACA</f>
        <v>#VALUE!</v>
      </c>
      <c r="O6" t="s">
        <v>181</v>
      </c>
      <c r="P6">
        <f>Costo</f>
        <v>20</v>
      </c>
      <c r="Q6" t="s">
        <v>191</v>
      </c>
    </row>
    <row r="7" spans="1:17" x14ac:dyDescent="0.25">
      <c r="A7" t="s">
        <v>32</v>
      </c>
      <c r="C7" s="7" t="s">
        <v>7</v>
      </c>
      <c r="D7" s="8" t="s">
        <v>19</v>
      </c>
      <c r="E7" s="6">
        <f>Lead</f>
        <v>1.9230769230769232E-2</v>
      </c>
      <c r="G7" t="s">
        <v>109</v>
      </c>
      <c r="H7" s="22">
        <f>IFERROR(E4/H2,"Faltan datos")</f>
        <v>2.3237900077244502</v>
      </c>
      <c r="J7" t="s">
        <v>127</v>
      </c>
      <c r="K7" t="str">
        <f>IFERROR((Faltante/(Hold+Faltante))*QoptCACA,"")</f>
        <v/>
      </c>
      <c r="M7" t="s">
        <v>135</v>
      </c>
      <c r="O7" t="s">
        <v>184</v>
      </c>
      <c r="P7">
        <f>Rescate</f>
        <v>10</v>
      </c>
      <c r="Q7" t="s">
        <v>192</v>
      </c>
    </row>
    <row r="8" spans="1:17" ht="15.75" thickBot="1" x14ac:dyDescent="0.3">
      <c r="A8" t="s">
        <v>33</v>
      </c>
      <c r="C8" s="7" t="s">
        <v>8</v>
      </c>
      <c r="D8" s="8" t="s">
        <v>22</v>
      </c>
      <c r="E8" s="6">
        <f>Ka</f>
        <v>100</v>
      </c>
      <c r="G8" t="s">
        <v>110</v>
      </c>
      <c r="H8" s="22">
        <f>IFERROR(H2/E4,"Faltan datos")</f>
        <v>0.43033148291193518</v>
      </c>
      <c r="J8" t="s">
        <v>128</v>
      </c>
      <c r="K8" t="e">
        <f>-(Hold/(Hold+Faltante))*QoptCACA</f>
        <v>#VALUE!</v>
      </c>
      <c r="L8" t="s">
        <v>61</v>
      </c>
      <c r="M8">
        <f>Peve-Costo</f>
        <v>30</v>
      </c>
      <c r="O8" s="63" t="s">
        <v>182</v>
      </c>
      <c r="P8" s="63">
        <f>sigma</f>
        <v>30</v>
      </c>
      <c r="Q8" s="63" t="s">
        <v>193</v>
      </c>
    </row>
    <row r="9" spans="1:17" ht="15.75" thickTop="1" x14ac:dyDescent="0.25">
      <c r="A9" t="s">
        <v>34</v>
      </c>
      <c r="C9" s="7" t="s">
        <v>9</v>
      </c>
      <c r="D9" s="8" t="s">
        <v>23</v>
      </c>
      <c r="E9" s="6">
        <f>int</f>
        <v>0.3</v>
      </c>
      <c r="G9" t="s">
        <v>72</v>
      </c>
      <c r="H9" s="22">
        <f>IFERROR(IF(modelo="POQ",(Prod-Dem)*((Qop/Dem)-Lead),Dem*Lead-(INT(Dem*Lead/Qop)*Qop)),"Faltan datos")</f>
        <v>3.4615384615384617</v>
      </c>
      <c r="J9" t="s">
        <v>129</v>
      </c>
      <c r="K9" t="e">
        <f>QoptCACA/Dem</f>
        <v>#VALUE!</v>
      </c>
      <c r="L9" t="s">
        <v>62</v>
      </c>
      <c r="M9">
        <f>Costo-sobrante</f>
        <v>10</v>
      </c>
      <c r="O9" t="s">
        <v>187</v>
      </c>
      <c r="P9">
        <f>IF(multaF&gt;0,multaF+Peve-Costo,Peve-Costo)</f>
        <v>50</v>
      </c>
      <c r="Q9" t="s">
        <v>196</v>
      </c>
    </row>
    <row r="10" spans="1:17" x14ac:dyDescent="0.25">
      <c r="A10" t="s">
        <v>35</v>
      </c>
      <c r="C10" s="7" t="s">
        <v>28</v>
      </c>
      <c r="D10" s="8" t="s">
        <v>29</v>
      </c>
      <c r="E10" s="6">
        <f>Hold</f>
        <v>6</v>
      </c>
      <c r="H10" t="str">
        <f>IF(Dem*Lead&gt;erre,"izquierdo ( / )","derecho ( \ )")</f>
        <v>derecho ( \ )</v>
      </c>
      <c r="J10" t="s">
        <v>130</v>
      </c>
      <c r="K10" t="e">
        <f>Imax/Dem</f>
        <v>#VALUE!</v>
      </c>
      <c r="L10" t="s">
        <v>136</v>
      </c>
      <c r="M10">
        <f>M8/(M8+M9)</f>
        <v>0.75</v>
      </c>
      <c r="O10" t="s">
        <v>88</v>
      </c>
      <c r="P10">
        <f>Costo-Rescate</f>
        <v>10</v>
      </c>
      <c r="Q10" t="s">
        <v>197</v>
      </c>
    </row>
    <row r="11" spans="1:17" x14ac:dyDescent="0.25">
      <c r="A11" t="s">
        <v>36</v>
      </c>
      <c r="C11" s="7" t="s">
        <v>10</v>
      </c>
      <c r="D11" s="8"/>
      <c r="E11" s="6">
        <f>MULTI27!D12</f>
        <v>1</v>
      </c>
      <c r="G11" t="s">
        <v>112</v>
      </c>
      <c r="H11">
        <f>IFERROR(Qop/Prod,"Faltan datos")</f>
        <v>8.6066296582387042E-2</v>
      </c>
      <c r="J11" t="s">
        <v>131</v>
      </c>
      <c r="K11" t="e">
        <f>-Smax/Dem</f>
        <v>#VALUE!</v>
      </c>
      <c r="L11" t="s">
        <v>74</v>
      </c>
      <c r="M11">
        <f>_xlfn.NORM.INV(M10,K2,sigma)</f>
        <v>200.23469250588246</v>
      </c>
      <c r="O11" t="s">
        <v>185</v>
      </c>
      <c r="P11">
        <f>Cu/(Cu+Co)</f>
        <v>0.83333333333333337</v>
      </c>
      <c r="Q11" t="s">
        <v>194</v>
      </c>
    </row>
    <row r="12" spans="1:17" x14ac:dyDescent="0.25">
      <c r="A12" t="s">
        <v>37</v>
      </c>
      <c r="C12" s="7" t="s">
        <v>11</v>
      </c>
      <c r="D12" s="8" t="s">
        <v>47</v>
      </c>
      <c r="E12" s="6" t="str">
        <f>MULTI27!D13</f>
        <v/>
      </c>
      <c r="G12" t="s">
        <v>113</v>
      </c>
      <c r="H12">
        <f>IFERROR((Prod-Dem)*(Qop/Prod),"Faltan datos")</f>
        <v>61.967733539318672</v>
      </c>
      <c r="O12" t="s">
        <v>198</v>
      </c>
      <c r="P12">
        <f>_xlfn.NORM.S.INV(newalfa)</f>
        <v>0.96742156610170071</v>
      </c>
    </row>
    <row r="13" spans="1:17" x14ac:dyDescent="0.25">
      <c r="A13" t="s">
        <v>38</v>
      </c>
      <c r="C13" s="7" t="s">
        <v>12</v>
      </c>
      <c r="D13" s="9" t="s">
        <v>24</v>
      </c>
      <c r="E13" s="6">
        <f>MULTI27!D14</f>
        <v>30</v>
      </c>
      <c r="G13" s="1" t="s">
        <v>117</v>
      </c>
      <c r="H13" t="str">
        <f>IFERROR(mu*Lead,"Faltan datos")</f>
        <v>Faltan datos</v>
      </c>
      <c r="O13" t="s">
        <v>199</v>
      </c>
      <c r="P13" t="e">
        <f>_xlfn.NORM.INV(newalfa,mu,sigma)</f>
        <v>#VALUE!</v>
      </c>
      <c r="Q13" t="s">
        <v>201</v>
      </c>
    </row>
    <row r="14" spans="1:17" x14ac:dyDescent="0.25">
      <c r="C14" s="7" t="s">
        <v>13</v>
      </c>
      <c r="D14" s="10" t="s">
        <v>25</v>
      </c>
      <c r="E14" s="6">
        <f>MULTI27!D15</f>
        <v>0.95</v>
      </c>
      <c r="G14" s="1" t="s">
        <v>118</v>
      </c>
      <c r="H14">
        <f>sigma*SQRT(Lead)</f>
        <v>4.1602514716892189</v>
      </c>
      <c r="J14" t="s">
        <v>179</v>
      </c>
      <c r="K14" t="e">
        <f>_xlfn.NORM.INV(alfa,mutemasele,sigmatemasele)-Exist-espera</f>
        <v>#VALUE!</v>
      </c>
      <c r="O14" t="s">
        <v>200</v>
      </c>
      <c r="P14" t="e">
        <f>Peve*(mu*NORMDIST(QoptCACA,mu,sigma,TRUE)-sigma*NORMDIST(QoptCACA,mu,sigma,FALSE))+Rescate*(QoptCACA-mu)*(1-NORMDIST(QoptCACA,mu,sigma,TRUE))-Costo*QoptCACA</f>
        <v>#VALUE!</v>
      </c>
      <c r="Q14" t="s">
        <v>202</v>
      </c>
    </row>
    <row r="15" spans="1:17" x14ac:dyDescent="0.25">
      <c r="C15" s="7" t="s">
        <v>14</v>
      </c>
      <c r="D15" s="9" t="s">
        <v>26</v>
      </c>
      <c r="E15" s="6">
        <f>Te</f>
        <v>7.6923076923076927E-2</v>
      </c>
      <c r="G15" s="1" t="s">
        <v>73</v>
      </c>
      <c r="H15">
        <f>IFERROR(_xlfn.NORM.S.INV(alfa)*sigmaele,"Faltan datos")</f>
        <v>6.8430047222382093</v>
      </c>
      <c r="O15" t="s">
        <v>203</v>
      </c>
      <c r="P15" t="e">
        <f>Costo*QoptCACA</f>
        <v>#VALUE!</v>
      </c>
    </row>
    <row r="16" spans="1:17" x14ac:dyDescent="0.25">
      <c r="C16" s="7" t="s">
        <v>15</v>
      </c>
      <c r="D16" s="9" t="s">
        <v>21</v>
      </c>
      <c r="E16" s="6">
        <f>Exist</f>
        <v>4</v>
      </c>
      <c r="G16" s="1" t="s">
        <v>119</v>
      </c>
      <c r="H16">
        <f>Te+Lead</f>
        <v>9.6153846153846159E-2</v>
      </c>
      <c r="J16">
        <f>Exist</f>
        <v>4</v>
      </c>
    </row>
    <row r="17" spans="2:25" x14ac:dyDescent="0.25">
      <c r="C17" s="7" t="s">
        <v>46</v>
      </c>
      <c r="D17" s="9" t="s">
        <v>27</v>
      </c>
      <c r="E17" s="6">
        <f>espera</f>
        <v>0</v>
      </c>
      <c r="G17" s="1" t="s">
        <v>120</v>
      </c>
      <c r="H17" t="str">
        <f>IFERROR(mu*temasele,"Faltan datos")</f>
        <v>Faltan datos</v>
      </c>
    </row>
    <row r="18" spans="2:25" x14ac:dyDescent="0.25">
      <c r="C18" s="89" t="s">
        <v>48</v>
      </c>
      <c r="D18" s="89"/>
      <c r="E18" s="11" t="b">
        <v>0</v>
      </c>
      <c r="G18" s="1" t="s">
        <v>121</v>
      </c>
      <c r="H18">
        <f>sigma*SQRT(temasele)</f>
        <v>9.3026050941906355</v>
      </c>
      <c r="O18" t="s">
        <v>151</v>
      </c>
      <c r="P18">
        <f>MIN(V21:V29)</f>
        <v>3300</v>
      </c>
      <c r="Q18" t="s">
        <v>152</v>
      </c>
      <c r="R18">
        <f>_xlfn.XLOOKUP(P18,V21:V30,R21:R30)</f>
        <v>100</v>
      </c>
      <c r="S18" t="s">
        <v>20</v>
      </c>
    </row>
    <row r="19" spans="2:25" x14ac:dyDescent="0.25">
      <c r="C19" s="89" t="s">
        <v>52</v>
      </c>
      <c r="D19" s="89"/>
      <c r="E19" s="6">
        <f>MULTI27!D20</f>
        <v>3</v>
      </c>
    </row>
    <row r="20" spans="2:25" x14ac:dyDescent="0.25">
      <c r="C20" s="7" t="s">
        <v>50</v>
      </c>
      <c r="D20" s="7" t="s">
        <v>49</v>
      </c>
      <c r="E20" s="3" t="s">
        <v>51</v>
      </c>
      <c r="F20" s="4" t="s">
        <v>99</v>
      </c>
      <c r="G20" s="4" t="s">
        <v>89</v>
      </c>
      <c r="H20" s="2" t="s">
        <v>100</v>
      </c>
      <c r="I20" t="s">
        <v>101</v>
      </c>
      <c r="J20" t="s">
        <v>102</v>
      </c>
      <c r="L20" t="s">
        <v>143</v>
      </c>
      <c r="M20" t="s">
        <v>55</v>
      </c>
      <c r="N20" t="s">
        <v>144</v>
      </c>
      <c r="O20" t="s">
        <v>51</v>
      </c>
      <c r="P20" t="s">
        <v>145</v>
      </c>
      <c r="Q20" t="s">
        <v>146</v>
      </c>
      <c r="R20" t="s">
        <v>147</v>
      </c>
      <c r="S20" t="s">
        <v>148</v>
      </c>
      <c r="T20" t="s">
        <v>149</v>
      </c>
      <c r="U20" t="s">
        <v>150</v>
      </c>
      <c r="V20" t="s">
        <v>80</v>
      </c>
      <c r="W20" t="s">
        <v>153</v>
      </c>
      <c r="X20" t="s">
        <v>154</v>
      </c>
      <c r="Y20" t="s">
        <v>155</v>
      </c>
    </row>
    <row r="21" spans="2:25" x14ac:dyDescent="0.25">
      <c r="B21">
        <v>1</v>
      </c>
      <c r="C21" s="7">
        <f>MULTI27!B22</f>
        <v>0</v>
      </c>
      <c r="D21" s="7">
        <f>IF(E21=0,D20+1,MULTI27!C22)</f>
        <v>49</v>
      </c>
      <c r="E21" s="7">
        <f>IF(MULTI27!D22&lt;&gt;0,MULTI27!D22,Costo)</f>
        <v>20</v>
      </c>
      <c r="F21" s="22">
        <f t="shared" ref="F21:F31" si="0">IFERROR(IF(modelo="POQ",SQRT(2*Dem*Ka/(int*E21)*((Prod-Dem)/Prod)),SQRT(2*Dem*Ka/(int*E21))),"")</f>
        <v>77.459666924148337</v>
      </c>
      <c r="G21" s="22">
        <f>IF(F21&gt;D21,D21,F21)</f>
        <v>49</v>
      </c>
      <c r="H21" s="27">
        <f t="shared" ref="H21:H31" si="1">IFERROR(Dem*Ka/E21+$E$10*(1-C21)*G21*(1/2)+Dem*E21*(1-C21),"")</f>
        <v>4647</v>
      </c>
      <c r="I21" s="28">
        <f>MIN(H22:H31)</f>
        <v>3669</v>
      </c>
      <c r="J21" s="21">
        <f>_xlfn.XLOOKUP(I21,H21:H31,G21:G31)</f>
        <v>100</v>
      </c>
      <c r="L21">
        <v>0</v>
      </c>
      <c r="M21">
        <f>MULTI27!C22</f>
        <v>49</v>
      </c>
      <c r="N21">
        <f>1-0</f>
        <v>1</v>
      </c>
      <c r="O21">
        <f>Costo*N21</f>
        <v>20</v>
      </c>
      <c r="P21">
        <f t="shared" ref="P21:P30" si="2">IF(modelo="EOQ",SQRT(2*Dem*Ka/Q21),SQRT(2*Dem*Ka/((Prod-Dem)/Prod)*Q21))</f>
        <v>77.459666924148337</v>
      </c>
      <c r="Q21">
        <f t="shared" ref="Q21:Q30" si="3">int*O21</f>
        <v>6</v>
      </c>
      <c r="R21">
        <f>IF(AND(P21&gt;M21,L22&lt;&gt;1),M21,IF(P21&lt;L21,L21,P21))</f>
        <v>49</v>
      </c>
      <c r="S21">
        <f t="shared" ref="S21:S30" si="4">IFERROR(Ka*Dem/R21,"")</f>
        <v>367.34693877551018</v>
      </c>
      <c r="T21">
        <f>O21*Dem</f>
        <v>3600</v>
      </c>
      <c r="U21">
        <f>R21*Q21/2</f>
        <v>147</v>
      </c>
      <c r="V21">
        <f>SUM(S21:U21)</f>
        <v>4114.3469387755104</v>
      </c>
      <c r="W21">
        <f>MIN(V21:V30)</f>
        <v>3300</v>
      </c>
      <c r="X21">
        <f>_xlfn.XLOOKUP(W21,V21:V30,R21:R30)</f>
        <v>100</v>
      </c>
      <c r="Y21">
        <f>_xlfn.XLOOKUP(W21,V21:V30,O21:O30)</f>
        <v>16</v>
      </c>
    </row>
    <row r="22" spans="2:25" x14ac:dyDescent="0.25">
      <c r="B22">
        <v>2</v>
      </c>
      <c r="C22" s="7">
        <f>MULTI27!B23</f>
        <v>0.1</v>
      </c>
      <c r="D22" s="7">
        <f>IF(B22&gt;$E$19+1,"",IF(C22=0,D21+1,MULTI27!C23))</f>
        <v>99</v>
      </c>
      <c r="E22" s="7">
        <f>IF(MULTI27!D23&gt;0,MULTI27!D23,E21)</f>
        <v>18</v>
      </c>
      <c r="F22" s="22">
        <f t="shared" si="0"/>
        <v>81.649658092772611</v>
      </c>
      <c r="G22" s="22">
        <f>IF(D22="M","",IF(F22&lt;D22,F22,IF(D22&lt;0,D21+1,D22)))</f>
        <v>81.649658092772611</v>
      </c>
      <c r="H22" s="27">
        <f t="shared" si="1"/>
        <v>4136.4540768504858</v>
      </c>
      <c r="I22" s="22"/>
      <c r="L22">
        <f>+M21+1</f>
        <v>50</v>
      </c>
      <c r="M22">
        <f>MULTI27!C23</f>
        <v>99</v>
      </c>
      <c r="N22">
        <f>1-C22</f>
        <v>0.9</v>
      </c>
      <c r="O22">
        <f t="shared" ref="O22:O30" si="5">IF(AND(N22=1,N23=1),O21,Costo*N22)</f>
        <v>18</v>
      </c>
      <c r="P22">
        <f t="shared" si="2"/>
        <v>81.649658092772611</v>
      </c>
      <c r="Q22">
        <f t="shared" si="3"/>
        <v>5.3999999999999995</v>
      </c>
      <c r="R22">
        <f>IF(IF(AND(P22&gt;M22,L23&lt;&gt;1),M22,IF(P22&lt;L22,L22,P22))&gt;R21,IF(AND(P22&gt;M22,L23&lt;&gt;1),M22,IF(P22&lt;L22,L22,P22)),"")</f>
        <v>81.649658092772611</v>
      </c>
      <c r="S22">
        <f t="shared" si="4"/>
        <v>220.45407685048602</v>
      </c>
      <c r="T22">
        <f t="shared" ref="T22:T30" si="6">IF(S22="","",O22*Dem)</f>
        <v>3240</v>
      </c>
      <c r="U22">
        <f>IF(S22="","",R22*Q22/2)</f>
        <v>220.45407685048602</v>
      </c>
      <c r="V22">
        <f t="shared" ref="V22:V29" si="7">IF(S22="","",SUM(S22:U22))</f>
        <v>3680.9081537009724</v>
      </c>
    </row>
    <row r="23" spans="2:25" x14ac:dyDescent="0.25">
      <c r="B23">
        <v>3</v>
      </c>
      <c r="C23" s="7">
        <f>MULTI27!B24</f>
        <v>0.2</v>
      </c>
      <c r="D23" s="7">
        <f>IF(B23&gt;$E$19+1,"",IF(C23=0,D22+1,MULTI27!C24-1))</f>
        <v>-1</v>
      </c>
      <c r="E23" s="7">
        <f>IF(MULTI27!D24&gt;0,MULTI27!D24,E22)</f>
        <v>16</v>
      </c>
      <c r="F23" s="22">
        <f t="shared" si="0"/>
        <v>86.602540378443862</v>
      </c>
      <c r="G23" s="22">
        <f>IF(D23="M","",IF(F23&lt;D23,F23,IF(D23&lt;0,D22+1,D23)))</f>
        <v>100</v>
      </c>
      <c r="H23" s="27">
        <f t="shared" si="1"/>
        <v>3669</v>
      </c>
      <c r="I23" s="22"/>
      <c r="L23">
        <f t="shared" ref="L23:L30" si="8">+M22+1</f>
        <v>100</v>
      </c>
      <c r="M23">
        <f>MULTI27!C24</f>
        <v>0</v>
      </c>
      <c r="N23">
        <f t="shared" ref="N23:N30" si="9">1-C23</f>
        <v>0.8</v>
      </c>
      <c r="O23">
        <f t="shared" si="5"/>
        <v>16</v>
      </c>
      <c r="P23">
        <f t="shared" si="2"/>
        <v>86.602540378443862</v>
      </c>
      <c r="Q23">
        <f t="shared" si="3"/>
        <v>4.8</v>
      </c>
      <c r="R23">
        <f t="shared" ref="R23:R30" si="10">IF(IF(AND(P23&gt;M23,L24&lt;&gt;1),M23,IF(P23&lt;L23,L23,P23))&gt;R22,IF(AND(P23&gt;M23,L24&lt;&gt;1),M23,IF(P23&lt;L23,L23,P23)),"")</f>
        <v>100</v>
      </c>
      <c r="S23">
        <f t="shared" si="4"/>
        <v>180</v>
      </c>
      <c r="T23">
        <f t="shared" si="6"/>
        <v>2880</v>
      </c>
      <c r="U23">
        <f>IF(S23="","",R23*Q23/2)</f>
        <v>240</v>
      </c>
      <c r="V23">
        <f t="shared" si="7"/>
        <v>3300</v>
      </c>
    </row>
    <row r="24" spans="2:25" x14ac:dyDescent="0.25">
      <c r="B24">
        <v>4</v>
      </c>
      <c r="C24" s="7">
        <f>MULTI27!B25</f>
        <v>0</v>
      </c>
      <c r="D24" s="7">
        <f>IF(B24&gt;$E$19+1,"",IF(C24=0,D23+1,MULTI27!C25-1))</f>
        <v>0</v>
      </c>
      <c r="E24" s="7" t="str">
        <f>IF(MULTI27!D25&gt;0,MULTI27!D25,E23)</f>
        <v/>
      </c>
      <c r="F24" s="22" t="str">
        <f t="shared" si="0"/>
        <v/>
      </c>
      <c r="G24" s="22">
        <f t="shared" ref="G24:G31" si="11">IF(D24="M","",IF(F24&lt;D24,F24,IF(D24&lt;0,D23+1,D24)))</f>
        <v>0</v>
      </c>
      <c r="H24" s="27" t="str">
        <f t="shared" si="1"/>
        <v/>
      </c>
      <c r="I24" s="22"/>
      <c r="L24">
        <f t="shared" si="8"/>
        <v>1</v>
      </c>
      <c r="M24">
        <f>MULTI27!C25</f>
        <v>0</v>
      </c>
      <c r="N24">
        <f t="shared" si="9"/>
        <v>1</v>
      </c>
      <c r="O24">
        <f t="shared" si="5"/>
        <v>16</v>
      </c>
      <c r="P24">
        <f t="shared" si="2"/>
        <v>86.602540378443862</v>
      </c>
      <c r="Q24">
        <f t="shared" si="3"/>
        <v>4.8</v>
      </c>
      <c r="R24" t="str">
        <f t="shared" si="10"/>
        <v/>
      </c>
      <c r="S24" t="str">
        <f t="shared" si="4"/>
        <v/>
      </c>
      <c r="T24" t="str">
        <f t="shared" si="6"/>
        <v/>
      </c>
      <c r="U24" t="str">
        <f t="shared" ref="U24:U30" si="12">IF(S24="","",R24*Q24/2)</f>
        <v/>
      </c>
      <c r="V24" t="str">
        <f t="shared" si="7"/>
        <v/>
      </c>
    </row>
    <row r="25" spans="2:25" x14ac:dyDescent="0.25">
      <c r="B25">
        <v>5</v>
      </c>
      <c r="C25" s="7">
        <f>MULTI27!B26</f>
        <v>0</v>
      </c>
      <c r="D25" s="7" t="str">
        <f>IF(B25&gt;$E$19+1,"",IF(C25=0,D24+1,MULTI27!C26-1))</f>
        <v/>
      </c>
      <c r="E25" s="7" t="str">
        <f>IF(MULTI27!D26&gt;0,MULTI27!D26,E24)</f>
        <v/>
      </c>
      <c r="F25" s="22" t="str">
        <f t="shared" si="0"/>
        <v/>
      </c>
      <c r="G25" s="22" t="str">
        <f t="shared" si="11"/>
        <v/>
      </c>
      <c r="H25" s="27" t="str">
        <f t="shared" si="1"/>
        <v/>
      </c>
      <c r="I25" s="22"/>
      <c r="L25">
        <f t="shared" si="8"/>
        <v>1</v>
      </c>
      <c r="M25">
        <f>MULTI27!C26</f>
        <v>0</v>
      </c>
      <c r="N25">
        <f t="shared" si="9"/>
        <v>1</v>
      </c>
      <c r="O25">
        <f t="shared" si="5"/>
        <v>16</v>
      </c>
      <c r="P25">
        <f t="shared" si="2"/>
        <v>86.602540378443862</v>
      </c>
      <c r="Q25">
        <f t="shared" si="3"/>
        <v>4.8</v>
      </c>
      <c r="R25" t="str">
        <f t="shared" si="10"/>
        <v/>
      </c>
      <c r="S25" t="str">
        <f t="shared" si="4"/>
        <v/>
      </c>
      <c r="T25" t="str">
        <f t="shared" si="6"/>
        <v/>
      </c>
      <c r="U25" t="str">
        <f t="shared" si="12"/>
        <v/>
      </c>
      <c r="V25" t="str">
        <f t="shared" si="7"/>
        <v/>
      </c>
    </row>
    <row r="26" spans="2:25" x14ac:dyDescent="0.25">
      <c r="B26">
        <v>6</v>
      </c>
      <c r="C26" s="7">
        <f>MULTI27!B27</f>
        <v>0</v>
      </c>
      <c r="D26" s="7" t="str">
        <f>IF(B26&gt;$E$19+1,"",IF(C26=0,D25+1,MULTI27!C27-1))</f>
        <v/>
      </c>
      <c r="E26" s="7" t="str">
        <f>IF(MULTI27!D27&gt;0,MULTI27!D27,E25)</f>
        <v/>
      </c>
      <c r="F26" s="22" t="str">
        <f t="shared" si="0"/>
        <v/>
      </c>
      <c r="G26" s="22" t="str">
        <f t="shared" si="11"/>
        <v/>
      </c>
      <c r="H26" s="27" t="str">
        <f t="shared" si="1"/>
        <v/>
      </c>
      <c r="I26" s="22"/>
      <c r="L26">
        <f t="shared" si="8"/>
        <v>1</v>
      </c>
      <c r="M26">
        <f>MULTI27!C27</f>
        <v>0</v>
      </c>
      <c r="N26">
        <f t="shared" si="9"/>
        <v>1</v>
      </c>
      <c r="O26">
        <f t="shared" si="5"/>
        <v>16</v>
      </c>
      <c r="P26">
        <f t="shared" si="2"/>
        <v>86.602540378443862</v>
      </c>
      <c r="Q26">
        <f t="shared" si="3"/>
        <v>4.8</v>
      </c>
      <c r="R26" t="str">
        <f t="shared" si="10"/>
        <v/>
      </c>
      <c r="S26" t="str">
        <f t="shared" si="4"/>
        <v/>
      </c>
      <c r="T26" t="str">
        <f t="shared" si="6"/>
        <v/>
      </c>
      <c r="U26" t="str">
        <f t="shared" si="12"/>
        <v/>
      </c>
      <c r="V26" t="str">
        <f t="shared" si="7"/>
        <v/>
      </c>
    </row>
    <row r="27" spans="2:25" x14ac:dyDescent="0.25">
      <c r="B27">
        <v>7</v>
      </c>
      <c r="C27" s="7">
        <f>MULTI27!B28</f>
        <v>0</v>
      </c>
      <c r="D27" s="7" t="str">
        <f>IF(B27&gt;$E$19+1,"",IF(C27=0,D26+1,MULTI27!C28-1))</f>
        <v/>
      </c>
      <c r="E27" s="7" t="str">
        <f>IF(MULTI27!D28&gt;0,MULTI27!D28,E26)</f>
        <v/>
      </c>
      <c r="F27" s="22" t="str">
        <f t="shared" si="0"/>
        <v/>
      </c>
      <c r="G27" s="22" t="str">
        <f t="shared" si="11"/>
        <v/>
      </c>
      <c r="H27" s="27" t="str">
        <f t="shared" si="1"/>
        <v/>
      </c>
      <c r="I27" s="22"/>
      <c r="L27">
        <f t="shared" si="8"/>
        <v>1</v>
      </c>
      <c r="M27">
        <f>MULTI27!C28</f>
        <v>0</v>
      </c>
      <c r="N27">
        <f t="shared" si="9"/>
        <v>1</v>
      </c>
      <c r="O27">
        <f t="shared" si="5"/>
        <v>16</v>
      </c>
      <c r="P27">
        <f t="shared" si="2"/>
        <v>86.602540378443862</v>
      </c>
      <c r="Q27">
        <f t="shared" si="3"/>
        <v>4.8</v>
      </c>
      <c r="R27" t="str">
        <f t="shared" si="10"/>
        <v/>
      </c>
      <c r="S27" t="str">
        <f t="shared" si="4"/>
        <v/>
      </c>
      <c r="T27" t="str">
        <f t="shared" si="6"/>
        <v/>
      </c>
      <c r="U27" t="str">
        <f t="shared" si="12"/>
        <v/>
      </c>
      <c r="V27" t="str">
        <f t="shared" si="7"/>
        <v/>
      </c>
    </row>
    <row r="28" spans="2:25" x14ac:dyDescent="0.25">
      <c r="B28">
        <v>8</v>
      </c>
      <c r="C28" s="7">
        <f>MULTI27!B29</f>
        <v>0</v>
      </c>
      <c r="D28" s="7" t="str">
        <f>IF(B28&gt;$E$19+1,"",IF(C28=0,D27+1,MULTI27!C29-1))</f>
        <v/>
      </c>
      <c r="E28" s="7" t="str">
        <f>IF(MULTI27!D29&gt;0,MULTI27!D29,E27)</f>
        <v/>
      </c>
      <c r="F28" s="22" t="str">
        <f t="shared" si="0"/>
        <v/>
      </c>
      <c r="G28" s="22" t="str">
        <f t="shared" si="11"/>
        <v/>
      </c>
      <c r="H28" s="27" t="str">
        <f t="shared" si="1"/>
        <v/>
      </c>
      <c r="I28" s="22"/>
      <c r="L28">
        <f t="shared" si="8"/>
        <v>1</v>
      </c>
      <c r="M28">
        <f>MULTI27!C29</f>
        <v>0</v>
      </c>
      <c r="N28">
        <f t="shared" si="9"/>
        <v>1</v>
      </c>
      <c r="O28">
        <f t="shared" si="5"/>
        <v>16</v>
      </c>
      <c r="P28">
        <f t="shared" si="2"/>
        <v>86.602540378443862</v>
      </c>
      <c r="Q28">
        <f t="shared" si="3"/>
        <v>4.8</v>
      </c>
      <c r="R28" t="str">
        <f t="shared" si="10"/>
        <v/>
      </c>
      <c r="S28" t="str">
        <f t="shared" si="4"/>
        <v/>
      </c>
      <c r="T28" t="str">
        <f t="shared" si="6"/>
        <v/>
      </c>
      <c r="U28" t="str">
        <f t="shared" si="12"/>
        <v/>
      </c>
      <c r="V28" t="str">
        <f t="shared" si="7"/>
        <v/>
      </c>
    </row>
    <row r="29" spans="2:25" x14ac:dyDescent="0.25">
      <c r="B29">
        <v>9</v>
      </c>
      <c r="C29" s="7">
        <f>MULTI27!B30</f>
        <v>0</v>
      </c>
      <c r="D29" s="7" t="str">
        <f>IF(B29&gt;$E$19+1,"",IF(C29=0,D28+1,MULTI27!C30-1))</f>
        <v/>
      </c>
      <c r="E29" s="7" t="str">
        <f>IF(MULTI27!D30&gt;0,MULTI27!D30,E28)</f>
        <v/>
      </c>
      <c r="F29" s="22" t="str">
        <f t="shared" si="0"/>
        <v/>
      </c>
      <c r="G29" s="22" t="str">
        <f t="shared" si="11"/>
        <v/>
      </c>
      <c r="H29" s="27" t="str">
        <f t="shared" si="1"/>
        <v/>
      </c>
      <c r="I29" s="22"/>
      <c r="L29">
        <f t="shared" si="8"/>
        <v>1</v>
      </c>
      <c r="M29">
        <f>MULTI27!C30</f>
        <v>0</v>
      </c>
      <c r="N29">
        <f t="shared" si="9"/>
        <v>1</v>
      </c>
      <c r="O29">
        <f t="shared" si="5"/>
        <v>16</v>
      </c>
      <c r="P29">
        <f t="shared" si="2"/>
        <v>86.602540378443862</v>
      </c>
      <c r="Q29">
        <f t="shared" si="3"/>
        <v>4.8</v>
      </c>
      <c r="R29" t="str">
        <f t="shared" si="10"/>
        <v/>
      </c>
      <c r="S29" t="str">
        <f t="shared" si="4"/>
        <v/>
      </c>
      <c r="T29" t="str">
        <f t="shared" si="6"/>
        <v/>
      </c>
      <c r="U29" t="str">
        <f t="shared" si="12"/>
        <v/>
      </c>
      <c r="V29" t="str">
        <f t="shared" si="7"/>
        <v/>
      </c>
    </row>
    <row r="30" spans="2:25" x14ac:dyDescent="0.25">
      <c r="B30">
        <v>10</v>
      </c>
      <c r="C30" s="7">
        <f>MULTI27!B31</f>
        <v>0</v>
      </c>
      <c r="D30" s="7" t="str">
        <f>IF(B30&gt;$E$19+1,"",IF(C30=0,D29+1,MULTI27!C31-1))</f>
        <v/>
      </c>
      <c r="E30" s="7" t="str">
        <f>IF(MULTI27!D31&gt;0,MULTI27!D31,E29)</f>
        <v/>
      </c>
      <c r="F30" s="22" t="str">
        <f t="shared" si="0"/>
        <v/>
      </c>
      <c r="G30" s="22" t="str">
        <f t="shared" si="11"/>
        <v/>
      </c>
      <c r="H30" s="27" t="str">
        <f t="shared" si="1"/>
        <v/>
      </c>
      <c r="I30" s="22"/>
      <c r="L30">
        <f t="shared" si="8"/>
        <v>1</v>
      </c>
      <c r="M30">
        <f>MULTI27!C31</f>
        <v>0</v>
      </c>
      <c r="N30">
        <f t="shared" si="9"/>
        <v>1</v>
      </c>
      <c r="O30">
        <f t="shared" si="5"/>
        <v>20</v>
      </c>
      <c r="P30">
        <f t="shared" si="2"/>
        <v>77.459666924148337</v>
      </c>
      <c r="Q30">
        <f t="shared" si="3"/>
        <v>6</v>
      </c>
      <c r="R30" t="str">
        <f t="shared" si="10"/>
        <v/>
      </c>
      <c r="S30" t="str">
        <f t="shared" si="4"/>
        <v/>
      </c>
      <c r="T30" t="str">
        <f t="shared" si="6"/>
        <v/>
      </c>
      <c r="U30" t="str">
        <f t="shared" si="12"/>
        <v/>
      </c>
      <c r="V30" t="str">
        <f>IF(S30="","",SUM(S30:U30))</f>
        <v/>
      </c>
    </row>
    <row r="31" spans="2:25" x14ac:dyDescent="0.25">
      <c r="B31">
        <v>11</v>
      </c>
      <c r="C31" s="7">
        <f>MULTI27!B32</f>
        <v>0</v>
      </c>
      <c r="D31" s="7" t="str">
        <f>IF(B31&gt;$E$19+1,"",IF(C31=0,D30+1,MULTI27!C32-1))</f>
        <v/>
      </c>
      <c r="E31" s="7" t="str">
        <f>IF(MULTI27!D32&gt;0,MULTI27!D32,E30)</f>
        <v/>
      </c>
      <c r="F31" s="22" t="str">
        <f t="shared" si="0"/>
        <v/>
      </c>
      <c r="G31" s="22" t="str">
        <f t="shared" si="11"/>
        <v/>
      </c>
      <c r="H31" s="27" t="str">
        <f t="shared" si="1"/>
        <v/>
      </c>
      <c r="I31" s="22"/>
    </row>
  </sheetData>
  <mergeCells count="2">
    <mergeCell ref="C18:D18"/>
    <mergeCell ref="C19:D19"/>
  </mergeCells>
  <conditionalFormatting sqref="C5:D5 C12:D17">
    <cfRule type="expression" dxfId="90" priority="3">
      <formula>#REF!="EOQ"</formula>
    </cfRule>
  </conditionalFormatting>
  <conditionalFormatting sqref="C12:D17">
    <cfRule type="expression" dxfId="89" priority="2">
      <formula>#REF!="POQ"</formula>
    </cfRule>
  </conditionalFormatting>
  <conditionalFormatting sqref="C19:E31 F20:G20">
    <cfRule type="expression" dxfId="88" priority="1">
      <formula>#REF!=FALSE</formula>
    </cfRule>
  </conditionalFormatting>
  <dataValidations disablePrompts="1" count="2">
    <dataValidation type="list" allowBlank="1" showInputMessage="1" showErrorMessage="1" sqref="E3" xr:uid="{43BBE57A-C11D-49D4-83C4-B8AEB3D07D11}">
      <formula1>$A$7:$A$13</formula1>
    </dataValidation>
    <dataValidation type="list" allowBlank="1" showInputMessage="1" showErrorMessage="1" sqref="E1" xr:uid="{7CE99372-F73F-4D05-871D-BF15B2C92541}">
      <formula1>$A$1:$A$5</formula1>
    </dataValidation>
  </dataValidation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62</vt:i4>
      </vt:variant>
    </vt:vector>
  </HeadingPairs>
  <TitlesOfParts>
    <vt:vector size="65" baseType="lpstr">
      <vt:lpstr>MULTI27</vt:lpstr>
      <vt:lpstr>Graficos</vt:lpstr>
      <vt:lpstr>Hoja2</vt:lpstr>
      <vt:lpstr>alfa</vt:lpstr>
      <vt:lpstr>CAD</vt:lpstr>
      <vt:lpstr>CAL</vt:lpstr>
      <vt:lpstr>Calca</vt:lpstr>
      <vt:lpstr>Cesc</vt:lpstr>
      <vt:lpstr>CEX</vt:lpstr>
      <vt:lpstr>CEZ</vt:lpstr>
      <vt:lpstr>CMCA</vt:lpstr>
      <vt:lpstr>CME</vt:lpstr>
      <vt:lpstr>Co</vt:lpstr>
      <vt:lpstr>Costo</vt:lpstr>
      <vt:lpstr>Cpe</vt:lpstr>
      <vt:lpstr>CT</vt:lpstr>
      <vt:lpstr>CTcan</vt:lpstr>
      <vt:lpstr>Cu</vt:lpstr>
      <vt:lpstr>Dem</vt:lpstr>
      <vt:lpstr>Durac</vt:lpstr>
      <vt:lpstr>entero</vt:lpstr>
      <vt:lpstr>erre</vt:lpstr>
      <vt:lpstr>ese</vt:lpstr>
      <vt:lpstr>espera</vt:lpstr>
      <vt:lpstr>Exist</vt:lpstr>
      <vt:lpstr>Faltante</vt:lpstr>
      <vt:lpstr>FRCR</vt:lpstr>
      <vt:lpstr>GananCan</vt:lpstr>
      <vt:lpstr>Hold</vt:lpstr>
      <vt:lpstr>Imax</vt:lpstr>
      <vt:lpstr>int</vt:lpstr>
      <vt:lpstr>Ka</vt:lpstr>
      <vt:lpstr>lado</vt:lpstr>
      <vt:lpstr>Lead</vt:lpstr>
      <vt:lpstr>modelo</vt:lpstr>
      <vt:lpstr>mu</vt:lpstr>
      <vt:lpstr>muele</vt:lpstr>
      <vt:lpstr>Multa</vt:lpstr>
      <vt:lpstr>multaF</vt:lpstr>
      <vt:lpstr>mutemasele</vt:lpstr>
      <vt:lpstr>n</vt:lpstr>
      <vt:lpstr>newalfa</vt:lpstr>
      <vt:lpstr>Peve</vt:lpstr>
      <vt:lpstr>Prod</vt:lpstr>
      <vt:lpstr>Qmax</vt:lpstr>
      <vt:lpstr>Qop</vt:lpstr>
      <vt:lpstr>QopCan</vt:lpstr>
      <vt:lpstr>QoptCACA</vt:lpstr>
      <vt:lpstr>qperiodica</vt:lpstr>
      <vt:lpstr>Rescate</vt:lpstr>
      <vt:lpstr>Revision</vt:lpstr>
      <vt:lpstr>rsd</vt:lpstr>
      <vt:lpstr>sigma</vt:lpstr>
      <vt:lpstr>sigmaele</vt:lpstr>
      <vt:lpstr>sigmatemasele</vt:lpstr>
      <vt:lpstr>Smax</vt:lpstr>
      <vt:lpstr>sobrante</vt:lpstr>
      <vt:lpstr>Tde</vt:lpstr>
      <vt:lpstr>Te</vt:lpstr>
      <vt:lpstr>temasele</vt:lpstr>
      <vt:lpstr>TentrQ</vt:lpstr>
      <vt:lpstr>TpoNeg</vt:lpstr>
      <vt:lpstr>TpoPos</vt:lpstr>
      <vt:lpstr>tprod</vt:lpstr>
      <vt:lpstr>udet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Roberti</dc:creator>
  <cp:lastModifiedBy>Alejandro Roberti</cp:lastModifiedBy>
  <dcterms:created xsi:type="dcterms:W3CDTF">2026-04-10T14:13:32Z</dcterms:created>
  <dcterms:modified xsi:type="dcterms:W3CDTF">2026-04-29T16:43:07Z</dcterms:modified>
</cp:coreProperties>
</file>