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Penale5\webs\WEBDESIGN\IMAGENESOPT2\NuevaPlat2026\EXCEL\2026\"/>
    </mc:Choice>
  </mc:AlternateContent>
  <xr:revisionPtr revIDLastSave="0" documentId="13_ncr:1_{8B089132-E7CD-4296-A8B4-2E6003E4894F}" xr6:coauthVersionLast="47" xr6:coauthVersionMax="47" xr10:uidLastSave="{00000000-0000-0000-0000-000000000000}"/>
  <bookViews>
    <workbookView xWindow="-120" yWindow="-120" windowWidth="20070" windowHeight="11760" xr2:uid="{1A150EB1-D519-4C6E-8452-DCD3AC37ADFA}"/>
  </bookViews>
  <sheets>
    <sheet name="DATOS" sheetId="6" r:id="rId1"/>
    <sheet name="MMc" sheetId="1" r:id="rId2"/>
    <sheet name="MMcK" sheetId="3" r:id="rId3"/>
    <sheet name="MMcL" sheetId="4" r:id="rId4"/>
    <sheet name="MG1" sheetId="5" r:id="rId5"/>
    <sheet name="Ayuda" sheetId="2" r:id="rId6"/>
  </sheets>
  <definedNames>
    <definedName name="cclate">MMc!$E$16</definedName>
    <definedName name="cclb">MMc!$E$17</definedName>
    <definedName name="cclesp">MMc!$E$15</definedName>
    <definedName name="cl">MMc!$E$8</definedName>
    <definedName name="clminus1">MMc!$AO$6</definedName>
    <definedName name="clpl3">MMc!$AC$6</definedName>
    <definedName name="clplus1">MMc!$U$6</definedName>
    <definedName name="clplus2">MMc!$Y$6</definedName>
    <definedName name="clplus3">MMc!$AC$6</definedName>
    <definedName name="clplus4">MMc!$AG$6</definedName>
    <definedName name="clplus5">MMc!$AK$6</definedName>
    <definedName name="coso2">MMc!$U$5</definedName>
    <definedName name="csli">MMc!$E$14</definedName>
    <definedName name="csoc">MMc!$E$13</definedName>
    <definedName name="eleq1">MMc!$B$29</definedName>
    <definedName name="esp">MMc!$E$11</definedName>
    <definedName name="gamma">MMc!$K$28</definedName>
    <definedName name="Lambda">'MG1'!$C$4</definedName>
    <definedName name="lmbd">MMc!$E$9</definedName>
    <definedName name="lmbd2">MMc!$K$8</definedName>
    <definedName name="Lq">'MG1'!$G$5</definedName>
    <definedName name="micro">MMc!$E$10</definedName>
    <definedName name="OneOverMu">'MG1'!$C$5</definedName>
    <definedName name="Pe0">MMc!$K$15</definedName>
    <definedName name="peka">MMcL!$AC$25</definedName>
    <definedName name="peka2">MMcL!$X$36</definedName>
    <definedName name="pop">MMc!$E$12</definedName>
    <definedName name="Rho">'MG1'!$G$10</definedName>
    <definedName name="servi1">MMcK!$V$6</definedName>
    <definedName name="servi2">MMcK!$AA$6</definedName>
    <definedName name="servi3">MMcK!$AF$6</definedName>
    <definedName name="servi4">MMcK!$AK$6</definedName>
    <definedName name="servi5">MMcK!$AP$6</definedName>
    <definedName name="servi6">MMcK!$AU$6</definedName>
    <definedName name="Sigma">'MG1'!$C$6</definedName>
    <definedName name="tau">MMc!$K$29</definedName>
    <definedName name="vardelam">#REF!</definedName>
    <definedName name="vardemu">#REF!</definedName>
    <definedName name="Wq">'MG1'!$G$8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1"/>
  <c r="E9" i="3" l="1"/>
  <c r="N13" i="6"/>
  <c r="N12" i="6"/>
  <c r="O12" i="6" l="1"/>
  <c r="E11" i="1" s="1"/>
  <c r="O13" i="6"/>
  <c r="E12" i="1" s="1"/>
  <c r="G15" i="5"/>
  <c r="E8" i="4"/>
  <c r="E9" i="4"/>
  <c r="E10" i="4"/>
  <c r="H12" i="5"/>
  <c r="E11" i="4" l="1"/>
  <c r="E12" i="3"/>
  <c r="E12" i="4"/>
  <c r="E11" i="3"/>
  <c r="K6" i="6"/>
  <c r="I6" i="6"/>
  <c r="H4" i="5" l="1"/>
  <c r="D10" i="5" s="1"/>
  <c r="H10" i="5"/>
  <c r="H9" i="5"/>
  <c r="F14" i="5" l="1"/>
  <c r="F15" i="5"/>
  <c r="D9" i="5"/>
  <c r="F18" i="6"/>
  <c r="A20" i="6" l="1"/>
  <c r="D20" i="6" s="1"/>
  <c r="F19" i="6"/>
  <c r="F14" i="6"/>
  <c r="F15" i="6"/>
  <c r="F16" i="6"/>
  <c r="F13" i="6"/>
  <c r="F10" i="6"/>
  <c r="F9" i="6"/>
  <c r="A19" i="6"/>
  <c r="E19" i="4"/>
  <c r="E18" i="1"/>
  <c r="E19" i="3"/>
  <c r="E19" i="1"/>
  <c r="L22" i="6"/>
  <c r="L23" i="6"/>
  <c r="L24" i="6"/>
  <c r="L25" i="6"/>
  <c r="L26" i="6"/>
  <c r="L27" i="6"/>
  <c r="L21" i="6"/>
  <c r="E4" i="1" l="1"/>
  <c r="O12" i="5"/>
  <c r="O11" i="5"/>
  <c r="E4" i="4"/>
  <c r="E4" i="3"/>
  <c r="A21" i="3"/>
  <c r="A22" i="3"/>
  <c r="A23" i="3"/>
  <c r="A24" i="3"/>
  <c r="A25" i="3"/>
  <c r="A26" i="3"/>
  <c r="A27" i="3"/>
  <c r="A28" i="3"/>
  <c r="A29" i="3"/>
  <c r="A20" i="3"/>
  <c r="E13" i="4"/>
  <c r="E14" i="4"/>
  <c r="E15" i="4"/>
  <c r="E16" i="4"/>
  <c r="E17" i="4"/>
  <c r="E18" i="4"/>
  <c r="E10" i="3"/>
  <c r="E13" i="3"/>
  <c r="E14" i="3"/>
  <c r="E15" i="3"/>
  <c r="E16" i="3"/>
  <c r="E17" i="3"/>
  <c r="E8" i="3"/>
  <c r="E9" i="1"/>
  <c r="E10" i="1"/>
  <c r="E13" i="1"/>
  <c r="E14" i="1"/>
  <c r="E15" i="1"/>
  <c r="E16" i="1"/>
  <c r="E17" i="1"/>
  <c r="E8" i="1"/>
  <c r="G19" i="6"/>
  <c r="G18" i="6"/>
  <c r="W9" i="6"/>
  <c r="W8" i="6"/>
  <c r="V20" i="6"/>
  <c r="U17" i="6"/>
  <c r="U20" i="6"/>
  <c r="U25" i="6"/>
  <c r="U26" i="6"/>
  <c r="T17" i="6"/>
  <c r="T20" i="6"/>
  <c r="T25" i="6"/>
  <c r="T26" i="6"/>
  <c r="L22" i="4" l="1"/>
  <c r="G17" i="4"/>
  <c r="S65" i="4"/>
  <c r="S18" i="4"/>
  <c r="S22" i="4"/>
  <c r="S26" i="4"/>
  <c r="S30" i="4"/>
  <c r="S34" i="4"/>
  <c r="S38" i="4"/>
  <c r="S42" i="4"/>
  <c r="S46" i="4"/>
  <c r="S50" i="4"/>
  <c r="S54" i="4"/>
  <c r="S58" i="4"/>
  <c r="S62" i="4"/>
  <c r="S66" i="4"/>
  <c r="S70" i="4"/>
  <c r="S74" i="4"/>
  <c r="S78" i="4"/>
  <c r="S82" i="4"/>
  <c r="S86" i="4"/>
  <c r="S90" i="4"/>
  <c r="S94" i="4"/>
  <c r="S98" i="4"/>
  <c r="S102" i="4"/>
  <c r="S106" i="4"/>
  <c r="S15" i="4"/>
  <c r="S19" i="4"/>
  <c r="S23" i="4"/>
  <c r="S27" i="4"/>
  <c r="S31" i="4"/>
  <c r="S35" i="4"/>
  <c r="S39" i="4"/>
  <c r="S43" i="4"/>
  <c r="S47" i="4"/>
  <c r="S51" i="4"/>
  <c r="S55" i="4"/>
  <c r="S59" i="4"/>
  <c r="S63" i="4"/>
  <c r="S67" i="4"/>
  <c r="S71" i="4"/>
  <c r="S75" i="4"/>
  <c r="S79" i="4"/>
  <c r="S87" i="4"/>
  <c r="S91" i="4"/>
  <c r="S95" i="4"/>
  <c r="S99" i="4"/>
  <c r="S103" i="4"/>
  <c r="S107" i="4"/>
  <c r="S101" i="4"/>
  <c r="S83" i="4"/>
  <c r="S16" i="4"/>
  <c r="S20" i="4"/>
  <c r="S24" i="4"/>
  <c r="S28" i="4"/>
  <c r="S32" i="4"/>
  <c r="S36" i="4"/>
  <c r="S40" i="4"/>
  <c r="S44" i="4"/>
  <c r="S48" i="4"/>
  <c r="S52" i="4"/>
  <c r="S56" i="4"/>
  <c r="S60" i="4"/>
  <c r="S64" i="4"/>
  <c r="S68" i="4"/>
  <c r="S72" i="4"/>
  <c r="S76" i="4"/>
  <c r="S80" i="4"/>
  <c r="S84" i="4"/>
  <c r="S88" i="4"/>
  <c r="S92" i="4"/>
  <c r="S96" i="4"/>
  <c r="S100" i="4"/>
  <c r="S104" i="4"/>
  <c r="S108" i="4"/>
  <c r="S17" i="4"/>
  <c r="S21" i="4"/>
  <c r="S25" i="4"/>
  <c r="S29" i="4"/>
  <c r="S33" i="4"/>
  <c r="S37" i="4"/>
  <c r="S41" i="4"/>
  <c r="S45" i="4"/>
  <c r="S49" i="4"/>
  <c r="S53" i="4"/>
  <c r="S57" i="4"/>
  <c r="S61" i="4"/>
  <c r="S69" i="4"/>
  <c r="S73" i="4"/>
  <c r="S77" i="4"/>
  <c r="S81" i="4"/>
  <c r="S85" i="4"/>
  <c r="S89" i="4"/>
  <c r="S93" i="4"/>
  <c r="S97" i="4"/>
  <c r="S105" i="4"/>
  <c r="R28" i="3"/>
  <c r="R24" i="3"/>
  <c r="R19" i="3"/>
  <c r="R18" i="3"/>
  <c r="R107" i="3"/>
  <c r="R103" i="3"/>
  <c r="R99" i="3"/>
  <c r="R95" i="3"/>
  <c r="R91" i="3"/>
  <c r="R87" i="3"/>
  <c r="R83" i="3"/>
  <c r="R79" i="3"/>
  <c r="R75" i="3"/>
  <c r="R25" i="3"/>
  <c r="R21" i="3"/>
  <c r="R16" i="3"/>
  <c r="R108" i="3"/>
  <c r="R104" i="3"/>
  <c r="R100" i="3"/>
  <c r="R96" i="3"/>
  <c r="R92" i="3"/>
  <c r="R88" i="3"/>
  <c r="R84" i="3"/>
  <c r="R80" i="3"/>
  <c r="R76" i="3"/>
  <c r="R72" i="3"/>
  <c r="R26" i="3"/>
  <c r="R22" i="3"/>
  <c r="R15" i="3"/>
  <c r="R105" i="3"/>
  <c r="R101" i="3"/>
  <c r="R97" i="3"/>
  <c r="R93" i="3"/>
  <c r="R89" i="3"/>
  <c r="R85" i="3"/>
  <c r="R81" i="3"/>
  <c r="R77" i="3"/>
  <c r="R73" i="3"/>
  <c r="R27" i="3"/>
  <c r="R23" i="3"/>
  <c r="R20" i="3"/>
  <c r="R17" i="3"/>
  <c r="R106" i="3"/>
  <c r="R102" i="3"/>
  <c r="R98" i="3"/>
  <c r="R94" i="3"/>
  <c r="R90" i="3"/>
  <c r="R86" i="3"/>
  <c r="R82" i="3"/>
  <c r="R78" i="3"/>
  <c r="R74" i="3"/>
  <c r="R71" i="3"/>
  <c r="R67" i="3"/>
  <c r="R63" i="3"/>
  <c r="R59" i="3"/>
  <c r="R55" i="3"/>
  <c r="R51" i="3"/>
  <c r="R47" i="3"/>
  <c r="R43" i="3"/>
  <c r="R39" i="3"/>
  <c r="R35" i="3"/>
  <c r="R31" i="3"/>
  <c r="S105" i="3"/>
  <c r="S101" i="3"/>
  <c r="S97" i="3"/>
  <c r="S93" i="3"/>
  <c r="S89" i="3"/>
  <c r="S85" i="3"/>
  <c r="S81" i="3"/>
  <c r="S77" i="3"/>
  <c r="S73" i="3"/>
  <c r="S69" i="3"/>
  <c r="S65" i="3"/>
  <c r="S61" i="3"/>
  <c r="S57" i="3"/>
  <c r="R68" i="3"/>
  <c r="R64" i="3"/>
  <c r="R60" i="3"/>
  <c r="R56" i="3"/>
  <c r="R52" i="3"/>
  <c r="R48" i="3"/>
  <c r="R44" i="3"/>
  <c r="R40" i="3"/>
  <c r="R36" i="3"/>
  <c r="R32" i="3"/>
  <c r="S108" i="3"/>
  <c r="S104" i="3"/>
  <c r="S100" i="3"/>
  <c r="S96" i="3"/>
  <c r="S92" i="3"/>
  <c r="S88" i="3"/>
  <c r="S84" i="3"/>
  <c r="S80" i="3"/>
  <c r="S76" i="3"/>
  <c r="S72" i="3"/>
  <c r="S68" i="3"/>
  <c r="S64" i="3"/>
  <c r="S60" i="3"/>
  <c r="S56" i="3"/>
  <c r="R69" i="3"/>
  <c r="R65" i="3"/>
  <c r="R61" i="3"/>
  <c r="R57" i="3"/>
  <c r="R53" i="3"/>
  <c r="R49" i="3"/>
  <c r="R45" i="3"/>
  <c r="R41" i="3"/>
  <c r="R37" i="3"/>
  <c r="R33" i="3"/>
  <c r="R29" i="3"/>
  <c r="S107" i="3"/>
  <c r="S103" i="3"/>
  <c r="S99" i="3"/>
  <c r="S95" i="3"/>
  <c r="S91" i="3"/>
  <c r="S87" i="3"/>
  <c r="S83" i="3"/>
  <c r="S79" i="3"/>
  <c r="S75" i="3"/>
  <c r="S71" i="3"/>
  <c r="S67" i="3"/>
  <c r="R66" i="3"/>
  <c r="R50" i="3"/>
  <c r="R34" i="3"/>
  <c r="S98" i="3"/>
  <c r="S82" i="3"/>
  <c r="S66" i="3"/>
  <c r="S58" i="3"/>
  <c r="S52" i="3"/>
  <c r="S48" i="3"/>
  <c r="S44" i="3"/>
  <c r="S40" i="3"/>
  <c r="S36" i="3"/>
  <c r="S32" i="3"/>
  <c r="S28" i="3"/>
  <c r="S24" i="3"/>
  <c r="S70" i="3"/>
  <c r="S45" i="3"/>
  <c r="S25" i="3"/>
  <c r="R70" i="3"/>
  <c r="R54" i="3"/>
  <c r="R38" i="3"/>
  <c r="S94" i="3"/>
  <c r="S78" i="3"/>
  <c r="S63" i="3"/>
  <c r="S55" i="3"/>
  <c r="S51" i="3"/>
  <c r="S47" i="3"/>
  <c r="S43" i="3"/>
  <c r="S39" i="3"/>
  <c r="S35" i="3"/>
  <c r="S31" i="3"/>
  <c r="S27" i="3"/>
  <c r="S23" i="3"/>
  <c r="R62" i="3"/>
  <c r="R46" i="3"/>
  <c r="R30" i="3"/>
  <c r="S102" i="3"/>
  <c r="S59" i="3"/>
  <c r="S49" i="3"/>
  <c r="S37" i="3"/>
  <c r="S29" i="3"/>
  <c r="R58" i="3"/>
  <c r="R42" i="3"/>
  <c r="S106" i="3"/>
  <c r="S90" i="3"/>
  <c r="S74" i="3"/>
  <c r="S62" i="3"/>
  <c r="S54" i="3"/>
  <c r="S50" i="3"/>
  <c r="S46" i="3"/>
  <c r="S42" i="3"/>
  <c r="S38" i="3"/>
  <c r="S34" i="3"/>
  <c r="S30" i="3"/>
  <c r="S26" i="3"/>
  <c r="S86" i="3"/>
  <c r="S53" i="3"/>
  <c r="S41" i="3"/>
  <c r="S33" i="3"/>
  <c r="T8" i="3"/>
  <c r="U9" i="3"/>
  <c r="U8" i="3"/>
  <c r="L22" i="1"/>
  <c r="G17" i="1"/>
  <c r="G26" i="4"/>
  <c r="A14" i="4"/>
  <c r="G21" i="4"/>
  <c r="A9" i="4"/>
  <c r="A15" i="4"/>
  <c r="G22" i="4"/>
  <c r="A10" i="4"/>
  <c r="A16" i="4"/>
  <c r="G25" i="4"/>
  <c r="A13" i="4"/>
  <c r="A19" i="4"/>
  <c r="L14" i="1"/>
  <c r="G8" i="1"/>
  <c r="G23" i="1"/>
  <c r="G27" i="1"/>
  <c r="A13" i="1"/>
  <c r="A19" i="1"/>
  <c r="L21" i="1"/>
  <c r="G9" i="1"/>
  <c r="G24" i="1"/>
  <c r="G8" i="4"/>
  <c r="G23" i="4"/>
  <c r="G27" i="4"/>
  <c r="A14" i="1"/>
  <c r="L25" i="1"/>
  <c r="G21" i="1"/>
  <c r="G25" i="1"/>
  <c r="G9" i="4"/>
  <c r="G24" i="4"/>
  <c r="A9" i="1"/>
  <c r="A15" i="1"/>
  <c r="G22" i="1"/>
  <c r="G26" i="1"/>
  <c r="A10" i="1"/>
  <c r="A16" i="1"/>
  <c r="L24" i="1"/>
  <c r="L8" i="1"/>
  <c r="L27" i="1"/>
  <c r="L23" i="1"/>
  <c r="L13" i="1"/>
  <c r="L26" i="1"/>
  <c r="L14" i="4"/>
  <c r="L25" i="4"/>
  <c r="L21" i="4"/>
  <c r="L24" i="4"/>
  <c r="L8" i="4"/>
  <c r="L27" i="4"/>
  <c r="L23" i="4"/>
  <c r="L13" i="4"/>
  <c r="L26" i="4"/>
  <c r="G27" i="6"/>
  <c r="G26" i="6"/>
  <c r="G25" i="6"/>
  <c r="G24" i="6"/>
  <c r="G23" i="6"/>
  <c r="G22" i="6"/>
  <c r="G21" i="6"/>
  <c r="L14" i="6"/>
  <c r="L13" i="6"/>
  <c r="K9" i="6"/>
  <c r="G9" i="6"/>
  <c r="L8" i="6"/>
  <c r="L9" i="6" s="1"/>
  <c r="K8" i="6"/>
  <c r="G8" i="6"/>
  <c r="A16" i="6"/>
  <c r="A15" i="6"/>
  <c r="A14" i="6"/>
  <c r="A13" i="6"/>
  <c r="A10" i="6"/>
  <c r="A9" i="6"/>
  <c r="K29" i="6" l="1"/>
  <c r="K28" i="6"/>
  <c r="B20" i="4" l="1"/>
  <c r="B21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Y32" i="4" l="1"/>
  <c r="Y36" i="4"/>
  <c r="Y40" i="4"/>
  <c r="Y44" i="4"/>
  <c r="Y48" i="4"/>
  <c r="Y52" i="4"/>
  <c r="Y56" i="4"/>
  <c r="Y60" i="4"/>
  <c r="Y64" i="4"/>
  <c r="Y68" i="4"/>
  <c r="Y72" i="4"/>
  <c r="Y76" i="4"/>
  <c r="Y80" i="4"/>
  <c r="Y84" i="4"/>
  <c r="Y88" i="4"/>
  <c r="Y92" i="4"/>
  <c r="Y96" i="4"/>
  <c r="Y100" i="4"/>
  <c r="Y104" i="4"/>
  <c r="Y108" i="4"/>
  <c r="Y35" i="4"/>
  <c r="Y39" i="4"/>
  <c r="Y51" i="4"/>
  <c r="Y63" i="4"/>
  <c r="Y79" i="4"/>
  <c r="Y91" i="4"/>
  <c r="Y103" i="4"/>
  <c r="Y29" i="4"/>
  <c r="Y33" i="4"/>
  <c r="Y37" i="4"/>
  <c r="Y41" i="4"/>
  <c r="Y45" i="4"/>
  <c r="Y49" i="4"/>
  <c r="Y53" i="4"/>
  <c r="Y57" i="4"/>
  <c r="Y61" i="4"/>
  <c r="Y65" i="4"/>
  <c r="Y69" i="4"/>
  <c r="Y73" i="4"/>
  <c r="Y77" i="4"/>
  <c r="Y81" i="4"/>
  <c r="Y85" i="4"/>
  <c r="Y89" i="4"/>
  <c r="Y93" i="4"/>
  <c r="Y97" i="4"/>
  <c r="Y101" i="4"/>
  <c r="Y105" i="4"/>
  <c r="Y31" i="4"/>
  <c r="Y43" i="4"/>
  <c r="Y55" i="4"/>
  <c r="Y67" i="4"/>
  <c r="Y75" i="4"/>
  <c r="Y87" i="4"/>
  <c r="Y99" i="4"/>
  <c r="Y30" i="4"/>
  <c r="Y34" i="4"/>
  <c r="Y38" i="4"/>
  <c r="Y42" i="4"/>
  <c r="Y46" i="4"/>
  <c r="Y50" i="4"/>
  <c r="Y54" i="4"/>
  <c r="Y58" i="4"/>
  <c r="Y62" i="4"/>
  <c r="Y66" i="4"/>
  <c r="Y70" i="4"/>
  <c r="Y74" i="4"/>
  <c r="Y78" i="4"/>
  <c r="Y82" i="4"/>
  <c r="Y86" i="4"/>
  <c r="Y90" i="4"/>
  <c r="Y94" i="4"/>
  <c r="Y98" i="4"/>
  <c r="Y102" i="4"/>
  <c r="Y106" i="4"/>
  <c r="Y47" i="4"/>
  <c r="Y59" i="4"/>
  <c r="Y71" i="4"/>
  <c r="Y83" i="4"/>
  <c r="Y95" i="4"/>
  <c r="Y107" i="4"/>
  <c r="A11" i="4"/>
  <c r="D11" i="5" l="1"/>
  <c r="H11" i="5"/>
  <c r="N13" i="5" s="1"/>
  <c r="N10" i="5" s="1"/>
  <c r="W12" i="6" l="1"/>
  <c r="N8" i="5"/>
  <c r="N9" i="5"/>
  <c r="N12" i="5"/>
  <c r="K26" i="4"/>
  <c r="V26" i="6" s="1"/>
  <c r="K9" i="4"/>
  <c r="V9" i="6" s="1"/>
  <c r="L9" i="4"/>
  <c r="K8" i="4"/>
  <c r="V8" i="6" s="1"/>
  <c r="AA6" i="4"/>
  <c r="V6" i="4"/>
  <c r="Q6" i="4"/>
  <c r="W15" i="6" l="1"/>
  <c r="O8" i="5"/>
  <c r="N11" i="5"/>
  <c r="W13" i="6" s="1"/>
  <c r="W14" i="6"/>
  <c r="W29" i="6"/>
  <c r="W11" i="6"/>
  <c r="K29" i="4"/>
  <c r="X19" i="4" s="1"/>
  <c r="G19" i="4"/>
  <c r="K28" i="4"/>
  <c r="V28" i="6" l="1"/>
  <c r="V29" i="6"/>
  <c r="X17" i="4"/>
  <c r="AC12" i="4"/>
  <c r="W9" i="4"/>
  <c r="Y9" i="4" s="1"/>
  <c r="X11" i="4"/>
  <c r="W8" i="4"/>
  <c r="Y8" i="4" s="1"/>
  <c r="B35" i="3" l="1"/>
  <c r="L27" i="3"/>
  <c r="G27" i="3"/>
  <c r="L26" i="3"/>
  <c r="G26" i="3"/>
  <c r="L25" i="3"/>
  <c r="G25" i="3"/>
  <c r="L24" i="3"/>
  <c r="G24" i="3"/>
  <c r="L23" i="3"/>
  <c r="G23" i="3"/>
  <c r="L22" i="3"/>
  <c r="G22" i="3"/>
  <c r="L21" i="3"/>
  <c r="G21" i="3"/>
  <c r="G19" i="3"/>
  <c r="A19" i="3"/>
  <c r="G18" i="3"/>
  <c r="G17" i="3"/>
  <c r="A16" i="3"/>
  <c r="A15" i="3"/>
  <c r="L14" i="3"/>
  <c r="A14" i="3"/>
  <c r="L13" i="3"/>
  <c r="A13" i="3"/>
  <c r="A10" i="3"/>
  <c r="K9" i="3"/>
  <c r="U9" i="6" s="1"/>
  <c r="G9" i="3"/>
  <c r="A9" i="3"/>
  <c r="L8" i="3"/>
  <c r="L9" i="3" s="1"/>
  <c r="K8" i="3"/>
  <c r="U8" i="6" s="1"/>
  <c r="G8" i="3"/>
  <c r="AU6" i="3"/>
  <c r="AP6" i="3"/>
  <c r="AK6" i="3"/>
  <c r="AF6" i="3"/>
  <c r="AA6" i="3"/>
  <c r="V6" i="3"/>
  <c r="Q6" i="3"/>
  <c r="AL28" i="3" l="1"/>
  <c r="AL24" i="3"/>
  <c r="AL19" i="3"/>
  <c r="AL107" i="3"/>
  <c r="AL103" i="3"/>
  <c r="AL99" i="3"/>
  <c r="AL95" i="3"/>
  <c r="AL91" i="3"/>
  <c r="AL87" i="3"/>
  <c r="AL83" i="3"/>
  <c r="AL79" i="3"/>
  <c r="AL75" i="3"/>
  <c r="AL71" i="3"/>
  <c r="AL25" i="3"/>
  <c r="AL21" i="3"/>
  <c r="AL108" i="3"/>
  <c r="AL104" i="3"/>
  <c r="AL100" i="3"/>
  <c r="AL96" i="3"/>
  <c r="AL92" i="3"/>
  <c r="AL88" i="3"/>
  <c r="AL84" i="3"/>
  <c r="AL80" i="3"/>
  <c r="AL76" i="3"/>
  <c r="AL72" i="3"/>
  <c r="AL26" i="3"/>
  <c r="AL22" i="3"/>
  <c r="AL105" i="3"/>
  <c r="AL101" i="3"/>
  <c r="AL97" i="3"/>
  <c r="AL93" i="3"/>
  <c r="AL89" i="3"/>
  <c r="AL85" i="3"/>
  <c r="AL81" i="3"/>
  <c r="AL77" i="3"/>
  <c r="AL73" i="3"/>
  <c r="AL27" i="3"/>
  <c r="AL23" i="3"/>
  <c r="AL20" i="3"/>
  <c r="AL106" i="3"/>
  <c r="AL102" i="3"/>
  <c r="AL98" i="3"/>
  <c r="AL94" i="3"/>
  <c r="AL90" i="3"/>
  <c r="AL86" i="3"/>
  <c r="AL82" i="3"/>
  <c r="AL78" i="3"/>
  <c r="AL74" i="3"/>
  <c r="AL67" i="3"/>
  <c r="AL63" i="3"/>
  <c r="AL59" i="3"/>
  <c r="AL55" i="3"/>
  <c r="AL51" i="3"/>
  <c r="AL47" i="3"/>
  <c r="AL43" i="3"/>
  <c r="AL39" i="3"/>
  <c r="AL35" i="3"/>
  <c r="AL31" i="3"/>
  <c r="AL68" i="3"/>
  <c r="AL64" i="3"/>
  <c r="AL60" i="3"/>
  <c r="AL56" i="3"/>
  <c r="AL52" i="3"/>
  <c r="AL48" i="3"/>
  <c r="AL44" i="3"/>
  <c r="AL40" i="3"/>
  <c r="AL36" i="3"/>
  <c r="AL32" i="3"/>
  <c r="AL69" i="3"/>
  <c r="AL65" i="3"/>
  <c r="AL61" i="3"/>
  <c r="AL57" i="3"/>
  <c r="AL53" i="3"/>
  <c r="AL49" i="3"/>
  <c r="AL45" i="3"/>
  <c r="AL41" i="3"/>
  <c r="AL37" i="3"/>
  <c r="AL33" i="3"/>
  <c r="AL29" i="3"/>
  <c r="AL70" i="3"/>
  <c r="AL54" i="3"/>
  <c r="AL38" i="3"/>
  <c r="AL58" i="3"/>
  <c r="AL42" i="3"/>
  <c r="AL66" i="3"/>
  <c r="AL50" i="3"/>
  <c r="AL34" i="3"/>
  <c r="AL62" i="3"/>
  <c r="AL46" i="3"/>
  <c r="AL30" i="3"/>
  <c r="AN9" i="3"/>
  <c r="AN10" i="3"/>
  <c r="AO8" i="3"/>
  <c r="AN11" i="3"/>
  <c r="AO9" i="3"/>
  <c r="AN12" i="3"/>
  <c r="AN8" i="3"/>
  <c r="AO12" i="3"/>
  <c r="AO13" i="3"/>
  <c r="AO10" i="3"/>
  <c r="AO11" i="3"/>
  <c r="AG27" i="3"/>
  <c r="AG23" i="3"/>
  <c r="AG20" i="3"/>
  <c r="AG106" i="3"/>
  <c r="AG102" i="3"/>
  <c r="AG98" i="3"/>
  <c r="AG94" i="3"/>
  <c r="AG90" i="3"/>
  <c r="AG86" i="3"/>
  <c r="AG82" i="3"/>
  <c r="AG78" i="3"/>
  <c r="AG74" i="3"/>
  <c r="AG28" i="3"/>
  <c r="AG24" i="3"/>
  <c r="AG19" i="3"/>
  <c r="AG18" i="3"/>
  <c r="AG107" i="3"/>
  <c r="AG103" i="3"/>
  <c r="AG99" i="3"/>
  <c r="AG95" i="3"/>
  <c r="AG91" i="3"/>
  <c r="AG87" i="3"/>
  <c r="AG83" i="3"/>
  <c r="AG79" i="3"/>
  <c r="AG75" i="3"/>
  <c r="AG71" i="3"/>
  <c r="AG25" i="3"/>
  <c r="AG21" i="3"/>
  <c r="AG108" i="3"/>
  <c r="AG104" i="3"/>
  <c r="AG100" i="3"/>
  <c r="AG96" i="3"/>
  <c r="AG92" i="3"/>
  <c r="AG88" i="3"/>
  <c r="AG84" i="3"/>
  <c r="AG80" i="3"/>
  <c r="AG76" i="3"/>
  <c r="AG72" i="3"/>
  <c r="AG26" i="3"/>
  <c r="AG22" i="3"/>
  <c r="AG105" i="3"/>
  <c r="AG101" i="3"/>
  <c r="AG97" i="3"/>
  <c r="AG93" i="3"/>
  <c r="AG89" i="3"/>
  <c r="AG85" i="3"/>
  <c r="AG81" i="3"/>
  <c r="AG77" i="3"/>
  <c r="AG73" i="3"/>
  <c r="AG70" i="3"/>
  <c r="AG66" i="3"/>
  <c r="AG62" i="3"/>
  <c r="AG58" i="3"/>
  <c r="AG54" i="3"/>
  <c r="AG50" i="3"/>
  <c r="AG46" i="3"/>
  <c r="AG42" i="3"/>
  <c r="AG38" i="3"/>
  <c r="AG34" i="3"/>
  <c r="AG30" i="3"/>
  <c r="AG67" i="3"/>
  <c r="AG63" i="3"/>
  <c r="AG59" i="3"/>
  <c r="AG55" i="3"/>
  <c r="AG51" i="3"/>
  <c r="AG47" i="3"/>
  <c r="AG43" i="3"/>
  <c r="AG39" i="3"/>
  <c r="AG35" i="3"/>
  <c r="AG31" i="3"/>
  <c r="AG68" i="3"/>
  <c r="AG64" i="3"/>
  <c r="AG60" i="3"/>
  <c r="AG56" i="3"/>
  <c r="AG52" i="3"/>
  <c r="AG48" i="3"/>
  <c r="AG44" i="3"/>
  <c r="AG40" i="3"/>
  <c r="AG36" i="3"/>
  <c r="AG32" i="3"/>
  <c r="AG61" i="3"/>
  <c r="AG45" i="3"/>
  <c r="AG29" i="3"/>
  <c r="AG65" i="3"/>
  <c r="AG49" i="3"/>
  <c r="AG33" i="3"/>
  <c r="AG41" i="3"/>
  <c r="AG69" i="3"/>
  <c r="AG53" i="3"/>
  <c r="AG37" i="3"/>
  <c r="AG57" i="3"/>
  <c r="AJ12" i="3"/>
  <c r="AJ10" i="3"/>
  <c r="AJ11" i="3"/>
  <c r="AI8" i="3"/>
  <c r="AJ8" i="3"/>
  <c r="AI9" i="3"/>
  <c r="AI10" i="3"/>
  <c r="AI11" i="3"/>
  <c r="AJ9" i="3"/>
  <c r="W25" i="3"/>
  <c r="W21" i="3"/>
  <c r="W16" i="3"/>
  <c r="W108" i="3"/>
  <c r="W104" i="3"/>
  <c r="W100" i="3"/>
  <c r="W96" i="3"/>
  <c r="W92" i="3"/>
  <c r="W88" i="3"/>
  <c r="W84" i="3"/>
  <c r="W80" i="3"/>
  <c r="W76" i="3"/>
  <c r="W72" i="3"/>
  <c r="W26" i="3"/>
  <c r="W22" i="3"/>
  <c r="W105" i="3"/>
  <c r="W101" i="3"/>
  <c r="W97" i="3"/>
  <c r="W93" i="3"/>
  <c r="W89" i="3"/>
  <c r="W85" i="3"/>
  <c r="W81" i="3"/>
  <c r="W77" i="3"/>
  <c r="W73" i="3"/>
  <c r="W27" i="3"/>
  <c r="W23" i="3"/>
  <c r="W20" i="3"/>
  <c r="W17" i="3"/>
  <c r="W106" i="3"/>
  <c r="W102" i="3"/>
  <c r="W98" i="3"/>
  <c r="W94" i="3"/>
  <c r="W90" i="3"/>
  <c r="W86" i="3"/>
  <c r="W82" i="3"/>
  <c r="W78" i="3"/>
  <c r="W74" i="3"/>
  <c r="W28" i="3"/>
  <c r="W24" i="3"/>
  <c r="W19" i="3"/>
  <c r="W18" i="3"/>
  <c r="W107" i="3"/>
  <c r="W103" i="3"/>
  <c r="W99" i="3"/>
  <c r="W95" i="3"/>
  <c r="W91" i="3"/>
  <c r="W87" i="3"/>
  <c r="W83" i="3"/>
  <c r="W79" i="3"/>
  <c r="W75" i="3"/>
  <c r="W71" i="3"/>
  <c r="W68" i="3"/>
  <c r="W64" i="3"/>
  <c r="W60" i="3"/>
  <c r="W56" i="3"/>
  <c r="W52" i="3"/>
  <c r="W48" i="3"/>
  <c r="W44" i="3"/>
  <c r="W40" i="3"/>
  <c r="W36" i="3"/>
  <c r="W32" i="3"/>
  <c r="W69" i="3"/>
  <c r="W65" i="3"/>
  <c r="W61" i="3"/>
  <c r="W57" i="3"/>
  <c r="W53" i="3"/>
  <c r="W49" i="3"/>
  <c r="W45" i="3"/>
  <c r="W41" i="3"/>
  <c r="W37" i="3"/>
  <c r="W33" i="3"/>
  <c r="W29" i="3"/>
  <c r="W70" i="3"/>
  <c r="W66" i="3"/>
  <c r="W62" i="3"/>
  <c r="W58" i="3"/>
  <c r="W54" i="3"/>
  <c r="W50" i="3"/>
  <c r="W46" i="3"/>
  <c r="W42" i="3"/>
  <c r="W38" i="3"/>
  <c r="W34" i="3"/>
  <c r="W30" i="3"/>
  <c r="W59" i="3"/>
  <c r="W43" i="3"/>
  <c r="W39" i="3"/>
  <c r="W63" i="3"/>
  <c r="W47" i="3"/>
  <c r="W31" i="3"/>
  <c r="W55" i="3"/>
  <c r="W67" i="3"/>
  <c r="W51" i="3"/>
  <c r="W35" i="3"/>
  <c r="Y8" i="3"/>
  <c r="Z10" i="3"/>
  <c r="Y9" i="3"/>
  <c r="Z8" i="3"/>
  <c r="Z9" i="3"/>
  <c r="AQ25" i="3"/>
  <c r="AQ21" i="3"/>
  <c r="AQ108" i="3"/>
  <c r="AQ104" i="3"/>
  <c r="AQ100" i="3"/>
  <c r="AQ96" i="3"/>
  <c r="AQ92" i="3"/>
  <c r="AQ88" i="3"/>
  <c r="AQ84" i="3"/>
  <c r="AQ80" i="3"/>
  <c r="AQ76" i="3"/>
  <c r="AQ72" i="3"/>
  <c r="AQ26" i="3"/>
  <c r="AQ22" i="3"/>
  <c r="AQ105" i="3"/>
  <c r="AQ101" i="3"/>
  <c r="AQ97" i="3"/>
  <c r="AQ93" i="3"/>
  <c r="AQ89" i="3"/>
  <c r="AQ85" i="3"/>
  <c r="AQ81" i="3"/>
  <c r="AQ77" i="3"/>
  <c r="AQ73" i="3"/>
  <c r="AQ27" i="3"/>
  <c r="AQ23" i="3"/>
  <c r="AQ20" i="3"/>
  <c r="AQ106" i="3"/>
  <c r="AQ102" i="3"/>
  <c r="AQ98" i="3"/>
  <c r="AQ94" i="3"/>
  <c r="AQ90" i="3"/>
  <c r="AQ86" i="3"/>
  <c r="AQ82" i="3"/>
  <c r="AQ78" i="3"/>
  <c r="AQ74" i="3"/>
  <c r="AQ24" i="3"/>
  <c r="AQ107" i="3"/>
  <c r="AQ103" i="3"/>
  <c r="AQ99" i="3"/>
  <c r="AQ95" i="3"/>
  <c r="AQ91" i="3"/>
  <c r="AQ87" i="3"/>
  <c r="AQ83" i="3"/>
  <c r="AQ79" i="3"/>
  <c r="AQ75" i="3"/>
  <c r="AQ71" i="3"/>
  <c r="AQ68" i="3"/>
  <c r="AQ64" i="3"/>
  <c r="AQ60" i="3"/>
  <c r="AQ56" i="3"/>
  <c r="AQ52" i="3"/>
  <c r="AQ48" i="3"/>
  <c r="AQ44" i="3"/>
  <c r="AQ40" i="3"/>
  <c r="AQ36" i="3"/>
  <c r="AQ32" i="3"/>
  <c r="AQ28" i="3"/>
  <c r="AQ69" i="3"/>
  <c r="AQ65" i="3"/>
  <c r="AQ61" i="3"/>
  <c r="AQ57" i="3"/>
  <c r="AQ53" i="3"/>
  <c r="AQ49" i="3"/>
  <c r="AQ45" i="3"/>
  <c r="AQ41" i="3"/>
  <c r="AQ37" i="3"/>
  <c r="AQ33" i="3"/>
  <c r="AQ29" i="3"/>
  <c r="AQ70" i="3"/>
  <c r="AQ66" i="3"/>
  <c r="AQ62" i="3"/>
  <c r="AQ58" i="3"/>
  <c r="AQ54" i="3"/>
  <c r="AQ50" i="3"/>
  <c r="AQ46" i="3"/>
  <c r="AQ42" i="3"/>
  <c r="AQ38" i="3"/>
  <c r="AQ34" i="3"/>
  <c r="AQ30" i="3"/>
  <c r="AQ63" i="3"/>
  <c r="AQ47" i="3"/>
  <c r="AQ31" i="3"/>
  <c r="AQ67" i="3"/>
  <c r="AQ51" i="3"/>
  <c r="AQ35" i="3"/>
  <c r="AQ59" i="3"/>
  <c r="AQ55" i="3"/>
  <c r="AQ39" i="3"/>
  <c r="AQ43" i="3"/>
  <c r="AS10" i="3"/>
  <c r="AT14" i="3"/>
  <c r="AS11" i="3"/>
  <c r="AT12" i="3"/>
  <c r="AT10" i="3"/>
  <c r="AS9" i="3"/>
  <c r="AS12" i="3"/>
  <c r="AT11" i="3"/>
  <c r="AS13" i="3"/>
  <c r="AS8" i="3"/>
  <c r="AT13" i="3"/>
  <c r="AT9" i="3"/>
  <c r="AT8" i="3"/>
  <c r="AB26" i="3"/>
  <c r="AB22" i="3"/>
  <c r="AB105" i="3"/>
  <c r="AB101" i="3"/>
  <c r="AB97" i="3"/>
  <c r="AB93" i="3"/>
  <c r="AB89" i="3"/>
  <c r="AB85" i="3"/>
  <c r="AB81" i="3"/>
  <c r="AB77" i="3"/>
  <c r="AB73" i="3"/>
  <c r="AB27" i="3"/>
  <c r="AB23" i="3"/>
  <c r="AB20" i="3"/>
  <c r="AB17" i="3"/>
  <c r="AB106" i="3"/>
  <c r="AB102" i="3"/>
  <c r="AB98" i="3"/>
  <c r="AB94" i="3"/>
  <c r="AB90" i="3"/>
  <c r="AB86" i="3"/>
  <c r="AB82" i="3"/>
  <c r="AB78" i="3"/>
  <c r="AB74" i="3"/>
  <c r="AB28" i="3"/>
  <c r="AB24" i="3"/>
  <c r="AB19" i="3"/>
  <c r="AB18" i="3"/>
  <c r="AB107" i="3"/>
  <c r="AB103" i="3"/>
  <c r="AB99" i="3"/>
  <c r="AB95" i="3"/>
  <c r="AB91" i="3"/>
  <c r="AB87" i="3"/>
  <c r="AB83" i="3"/>
  <c r="AB79" i="3"/>
  <c r="AB75" i="3"/>
  <c r="AB71" i="3"/>
  <c r="AB25" i="3"/>
  <c r="AB21" i="3"/>
  <c r="AB108" i="3"/>
  <c r="AB104" i="3"/>
  <c r="AB100" i="3"/>
  <c r="AB96" i="3"/>
  <c r="AB92" i="3"/>
  <c r="AB88" i="3"/>
  <c r="AB84" i="3"/>
  <c r="AB80" i="3"/>
  <c r="AB76" i="3"/>
  <c r="AB72" i="3"/>
  <c r="AB69" i="3"/>
  <c r="AB65" i="3"/>
  <c r="AB61" i="3"/>
  <c r="AB57" i="3"/>
  <c r="AB53" i="3"/>
  <c r="AB49" i="3"/>
  <c r="AB45" i="3"/>
  <c r="AB41" i="3"/>
  <c r="AB37" i="3"/>
  <c r="AB33" i="3"/>
  <c r="AB29" i="3"/>
  <c r="AB70" i="3"/>
  <c r="AB66" i="3"/>
  <c r="AB62" i="3"/>
  <c r="AB58" i="3"/>
  <c r="AB54" i="3"/>
  <c r="AB50" i="3"/>
  <c r="AB46" i="3"/>
  <c r="AB42" i="3"/>
  <c r="AB38" i="3"/>
  <c r="AB34" i="3"/>
  <c r="AB30" i="3"/>
  <c r="AB67" i="3"/>
  <c r="AB63" i="3"/>
  <c r="AB59" i="3"/>
  <c r="AB55" i="3"/>
  <c r="AB51" i="3"/>
  <c r="AB47" i="3"/>
  <c r="AB43" i="3"/>
  <c r="AB39" i="3"/>
  <c r="AB35" i="3"/>
  <c r="AB31" i="3"/>
  <c r="AB68" i="3"/>
  <c r="AB52" i="3"/>
  <c r="AB36" i="3"/>
  <c r="AB56" i="3"/>
  <c r="AB40" i="3"/>
  <c r="AB60" i="3"/>
  <c r="AB44" i="3"/>
  <c r="AB64" i="3"/>
  <c r="AB48" i="3"/>
  <c r="AB32" i="3"/>
  <c r="AE8" i="3"/>
  <c r="AE10" i="3"/>
  <c r="AD10" i="3"/>
  <c r="AD8" i="3"/>
  <c r="AE11" i="3"/>
  <c r="AD9" i="3"/>
  <c r="AE9" i="3"/>
  <c r="AV26" i="3"/>
  <c r="AV22" i="3"/>
  <c r="AV105" i="3"/>
  <c r="AV101" i="3"/>
  <c r="AV97" i="3"/>
  <c r="AV93" i="3"/>
  <c r="AV89" i="3"/>
  <c r="AV85" i="3"/>
  <c r="AV81" i="3"/>
  <c r="AV77" i="3"/>
  <c r="AV73" i="3"/>
  <c r="AV27" i="3"/>
  <c r="AV23" i="3"/>
  <c r="AV106" i="3"/>
  <c r="AV102" i="3"/>
  <c r="AV98" i="3"/>
  <c r="AV94" i="3"/>
  <c r="AV90" i="3"/>
  <c r="AV86" i="3"/>
  <c r="AV82" i="3"/>
  <c r="AV78" i="3"/>
  <c r="AV74" i="3"/>
  <c r="AV24" i="3"/>
  <c r="AV107" i="3"/>
  <c r="AV103" i="3"/>
  <c r="AV99" i="3"/>
  <c r="AV95" i="3"/>
  <c r="AV91" i="3"/>
  <c r="AV87" i="3"/>
  <c r="AV83" i="3"/>
  <c r="AV79" i="3"/>
  <c r="AV75" i="3"/>
  <c r="AV71" i="3"/>
  <c r="AV25" i="3"/>
  <c r="AV21" i="3"/>
  <c r="AV108" i="3"/>
  <c r="AV104" i="3"/>
  <c r="AV100" i="3"/>
  <c r="AV96" i="3"/>
  <c r="AV92" i="3"/>
  <c r="AV88" i="3"/>
  <c r="AV84" i="3"/>
  <c r="AV80" i="3"/>
  <c r="AV76" i="3"/>
  <c r="AV72" i="3"/>
  <c r="AV69" i="3"/>
  <c r="AV65" i="3"/>
  <c r="AV61" i="3"/>
  <c r="AV57" i="3"/>
  <c r="AV53" i="3"/>
  <c r="AV49" i="3"/>
  <c r="AV45" i="3"/>
  <c r="AV41" i="3"/>
  <c r="AV37" i="3"/>
  <c r="AV33" i="3"/>
  <c r="AV29" i="3"/>
  <c r="AV70" i="3"/>
  <c r="AV66" i="3"/>
  <c r="AV62" i="3"/>
  <c r="AV58" i="3"/>
  <c r="AV54" i="3"/>
  <c r="AV50" i="3"/>
  <c r="AV46" i="3"/>
  <c r="AV42" i="3"/>
  <c r="AV38" i="3"/>
  <c r="AV34" i="3"/>
  <c r="AV30" i="3"/>
  <c r="AV67" i="3"/>
  <c r="AV63" i="3"/>
  <c r="AV59" i="3"/>
  <c r="AV55" i="3"/>
  <c r="AV51" i="3"/>
  <c r="AV47" i="3"/>
  <c r="AV43" i="3"/>
  <c r="AV39" i="3"/>
  <c r="AV35" i="3"/>
  <c r="AV31" i="3"/>
  <c r="AV56" i="3"/>
  <c r="AV40" i="3"/>
  <c r="AV60" i="3"/>
  <c r="AV44" i="3"/>
  <c r="AV28" i="3"/>
  <c r="AV64" i="3"/>
  <c r="AV48" i="3"/>
  <c r="AV32" i="3"/>
  <c r="AV68" i="3"/>
  <c r="AV52" i="3"/>
  <c r="AV36" i="3"/>
  <c r="AX14" i="3"/>
  <c r="AX8" i="3"/>
  <c r="AY10" i="3"/>
  <c r="AY11" i="3"/>
  <c r="AY12" i="3"/>
  <c r="AY8" i="3"/>
  <c r="AX9" i="3"/>
  <c r="AY9" i="3"/>
  <c r="AX12" i="3"/>
  <c r="AX13" i="3"/>
  <c r="AX10" i="3"/>
  <c r="AY14" i="3"/>
  <c r="AY15" i="3"/>
  <c r="AX11" i="3"/>
  <c r="AY13" i="3"/>
  <c r="AC105" i="3"/>
  <c r="AC101" i="3"/>
  <c r="AC97" i="3"/>
  <c r="AC93" i="3"/>
  <c r="AC89" i="3"/>
  <c r="AC85" i="3"/>
  <c r="AC81" i="3"/>
  <c r="AC77" i="3"/>
  <c r="AC73" i="3"/>
  <c r="AC69" i="3"/>
  <c r="AC65" i="3"/>
  <c r="AC61" i="3"/>
  <c r="AC57" i="3"/>
  <c r="AC53" i="3"/>
  <c r="AC49" i="3"/>
  <c r="AC45" i="3"/>
  <c r="AC41" i="3"/>
  <c r="AC37" i="3"/>
  <c r="AC106" i="3"/>
  <c r="AC102" i="3"/>
  <c r="AC98" i="3"/>
  <c r="AC94" i="3"/>
  <c r="AC90" i="3"/>
  <c r="AC86" i="3"/>
  <c r="AC82" i="3"/>
  <c r="AC78" i="3"/>
  <c r="AC107" i="3"/>
  <c r="AC103" i="3"/>
  <c r="AC99" i="3"/>
  <c r="AC95" i="3"/>
  <c r="AC91" i="3"/>
  <c r="AC87" i="3"/>
  <c r="AC83" i="3"/>
  <c r="AC79" i="3"/>
  <c r="AC75" i="3"/>
  <c r="AC71" i="3"/>
  <c r="AC67" i="3"/>
  <c r="AC63" i="3"/>
  <c r="AC59" i="3"/>
  <c r="AC55" i="3"/>
  <c r="AC51" i="3"/>
  <c r="AC47" i="3"/>
  <c r="AC43" i="3"/>
  <c r="AC39" i="3"/>
  <c r="AC35" i="3"/>
  <c r="AC100" i="3"/>
  <c r="AC84" i="3"/>
  <c r="AC70" i="3"/>
  <c r="AC62" i="3"/>
  <c r="AC54" i="3"/>
  <c r="AC46" i="3"/>
  <c r="AC38" i="3"/>
  <c r="AC96" i="3"/>
  <c r="AC68" i="3"/>
  <c r="AC36" i="3"/>
  <c r="AC104" i="3"/>
  <c r="AC88" i="3"/>
  <c r="AC72" i="3"/>
  <c r="AC64" i="3"/>
  <c r="AC56" i="3"/>
  <c r="AC48" i="3"/>
  <c r="AC40" i="3"/>
  <c r="AC80" i="3"/>
  <c r="AC60" i="3"/>
  <c r="AC108" i="3"/>
  <c r="AC92" i="3"/>
  <c r="AC74" i="3"/>
  <c r="AC66" i="3"/>
  <c r="AC58" i="3"/>
  <c r="AC50" i="3"/>
  <c r="AC42" i="3"/>
  <c r="AC76" i="3"/>
  <c r="AC52" i="3"/>
  <c r="AC44" i="3"/>
  <c r="AM105" i="3"/>
  <c r="AM101" i="3"/>
  <c r="AM106" i="3"/>
  <c r="AM107" i="3"/>
  <c r="AM103" i="3"/>
  <c r="AM99" i="3"/>
  <c r="AM104" i="3"/>
  <c r="AM97" i="3"/>
  <c r="AM93" i="3"/>
  <c r="AM89" i="3"/>
  <c r="AM85" i="3"/>
  <c r="AM81" i="3"/>
  <c r="AM77" i="3"/>
  <c r="AM73" i="3"/>
  <c r="AM69" i="3"/>
  <c r="AM65" i="3"/>
  <c r="AM61" i="3"/>
  <c r="AM57" i="3"/>
  <c r="AM53" i="3"/>
  <c r="AM49" i="3"/>
  <c r="AM45" i="3"/>
  <c r="AM41" i="3"/>
  <c r="AM37" i="3"/>
  <c r="AM108" i="3"/>
  <c r="AM98" i="3"/>
  <c r="AM94" i="3"/>
  <c r="AM90" i="3"/>
  <c r="AM86" i="3"/>
  <c r="AM82" i="3"/>
  <c r="AM78" i="3"/>
  <c r="AM74" i="3"/>
  <c r="AM70" i="3"/>
  <c r="AM66" i="3"/>
  <c r="AM62" i="3"/>
  <c r="AM58" i="3"/>
  <c r="AM54" i="3"/>
  <c r="AM50" i="3"/>
  <c r="AM46" i="3"/>
  <c r="AM42" i="3"/>
  <c r="AM38" i="3"/>
  <c r="AM100" i="3"/>
  <c r="AM95" i="3"/>
  <c r="AM91" i="3"/>
  <c r="AM87" i="3"/>
  <c r="AM83" i="3"/>
  <c r="AM79" i="3"/>
  <c r="AM75" i="3"/>
  <c r="AM71" i="3"/>
  <c r="AM67" i="3"/>
  <c r="AM63" i="3"/>
  <c r="AM59" i="3"/>
  <c r="AM55" i="3"/>
  <c r="AM51" i="3"/>
  <c r="AM47" i="3"/>
  <c r="AM43" i="3"/>
  <c r="AM39" i="3"/>
  <c r="AM102" i="3"/>
  <c r="AM84" i="3"/>
  <c r="AM68" i="3"/>
  <c r="AM52" i="3"/>
  <c r="AM88" i="3"/>
  <c r="AM72" i="3"/>
  <c r="AM56" i="3"/>
  <c r="AM40" i="3"/>
  <c r="AM92" i="3"/>
  <c r="AM76" i="3"/>
  <c r="AM60" i="3"/>
  <c r="AM44" i="3"/>
  <c r="AM80" i="3"/>
  <c r="AM96" i="3"/>
  <c r="AM64" i="3"/>
  <c r="AM48" i="3"/>
  <c r="X106" i="3"/>
  <c r="X102" i="3"/>
  <c r="X98" i="3"/>
  <c r="X94" i="3"/>
  <c r="X90" i="3"/>
  <c r="X86" i="3"/>
  <c r="X82" i="3"/>
  <c r="X78" i="3"/>
  <c r="X74" i="3"/>
  <c r="X70" i="3"/>
  <c r="X66" i="3"/>
  <c r="X62" i="3"/>
  <c r="X58" i="3"/>
  <c r="X54" i="3"/>
  <c r="X50" i="3"/>
  <c r="X46" i="3"/>
  <c r="X42" i="3"/>
  <c r="X38" i="3"/>
  <c r="X34" i="3"/>
  <c r="X107" i="3"/>
  <c r="X103" i="3"/>
  <c r="X99" i="3"/>
  <c r="X95" i="3"/>
  <c r="X91" i="3"/>
  <c r="X87" i="3"/>
  <c r="X83" i="3"/>
  <c r="X79" i="3"/>
  <c r="X75" i="3"/>
  <c r="X71" i="3"/>
  <c r="X67" i="3"/>
  <c r="X63" i="3"/>
  <c r="X59" i="3"/>
  <c r="X55" i="3"/>
  <c r="X51" i="3"/>
  <c r="X47" i="3"/>
  <c r="X43" i="3"/>
  <c r="X39" i="3"/>
  <c r="X35" i="3"/>
  <c r="X108" i="3"/>
  <c r="X104" i="3"/>
  <c r="X100" i="3"/>
  <c r="X96" i="3"/>
  <c r="X92" i="3"/>
  <c r="X88" i="3"/>
  <c r="X84" i="3"/>
  <c r="X80" i="3"/>
  <c r="X76" i="3"/>
  <c r="X72" i="3"/>
  <c r="X68" i="3"/>
  <c r="X64" i="3"/>
  <c r="X60" i="3"/>
  <c r="X56" i="3"/>
  <c r="X52" i="3"/>
  <c r="X48" i="3"/>
  <c r="X44" i="3"/>
  <c r="X40" i="3"/>
  <c r="X36" i="3"/>
  <c r="X105" i="3"/>
  <c r="X89" i="3"/>
  <c r="X73" i="3"/>
  <c r="X57" i="3"/>
  <c r="X41" i="3"/>
  <c r="X93" i="3"/>
  <c r="X77" i="3"/>
  <c r="X61" i="3"/>
  <c r="X45" i="3"/>
  <c r="X97" i="3"/>
  <c r="X81" i="3"/>
  <c r="X65" i="3"/>
  <c r="X49" i="3"/>
  <c r="X101" i="3"/>
  <c r="X85" i="3"/>
  <c r="X69" i="3"/>
  <c r="X53" i="3"/>
  <c r="X37" i="3"/>
  <c r="AR105" i="3"/>
  <c r="AR106" i="3"/>
  <c r="AR107" i="3"/>
  <c r="AR108" i="3"/>
  <c r="AR104" i="3"/>
  <c r="AR101" i="3"/>
  <c r="AR97" i="3"/>
  <c r="AR93" i="3"/>
  <c r="AR89" i="3"/>
  <c r="AR85" i="3"/>
  <c r="AR81" i="3"/>
  <c r="AR77" i="3"/>
  <c r="AR73" i="3"/>
  <c r="AR69" i="3"/>
  <c r="AR65" i="3"/>
  <c r="AR61" i="3"/>
  <c r="AR57" i="3"/>
  <c r="AR53" i="3"/>
  <c r="AR49" i="3"/>
  <c r="AR45" i="3"/>
  <c r="AR41" i="3"/>
  <c r="AR102" i="3"/>
  <c r="AR98" i="3"/>
  <c r="AR94" i="3"/>
  <c r="AR90" i="3"/>
  <c r="AR86" i="3"/>
  <c r="AR82" i="3"/>
  <c r="AR78" i="3"/>
  <c r="AR74" i="3"/>
  <c r="AR70" i="3"/>
  <c r="AR66" i="3"/>
  <c r="AR62" i="3"/>
  <c r="AR58" i="3"/>
  <c r="AR54" i="3"/>
  <c r="AR50" i="3"/>
  <c r="AR46" i="3"/>
  <c r="AR42" i="3"/>
  <c r="AR38" i="3"/>
  <c r="AR103" i="3"/>
  <c r="AR99" i="3"/>
  <c r="AR95" i="3"/>
  <c r="AR91" i="3"/>
  <c r="AR87" i="3"/>
  <c r="AR83" i="3"/>
  <c r="AR79" i="3"/>
  <c r="AR75" i="3"/>
  <c r="AR71" i="3"/>
  <c r="AR67" i="3"/>
  <c r="AR63" i="3"/>
  <c r="AR59" i="3"/>
  <c r="AR55" i="3"/>
  <c r="AR51" i="3"/>
  <c r="AR47" i="3"/>
  <c r="AR43" i="3"/>
  <c r="AR39" i="3"/>
  <c r="AR92" i="3"/>
  <c r="AR76" i="3"/>
  <c r="AR60" i="3"/>
  <c r="AR44" i="3"/>
  <c r="AR96" i="3"/>
  <c r="AR80" i="3"/>
  <c r="AR64" i="3"/>
  <c r="AR48" i="3"/>
  <c r="AR100" i="3"/>
  <c r="AR84" i="3"/>
  <c r="AR68" i="3"/>
  <c r="AR52" i="3"/>
  <c r="AR56" i="3"/>
  <c r="AR72" i="3"/>
  <c r="AR88" i="3"/>
  <c r="AR40" i="3"/>
  <c r="AW107" i="3"/>
  <c r="AW103" i="3"/>
  <c r="AW99" i="3"/>
  <c r="AW95" i="3"/>
  <c r="AW91" i="3"/>
  <c r="AW87" i="3"/>
  <c r="AW83" i="3"/>
  <c r="AW79" i="3"/>
  <c r="AW75" i="3"/>
  <c r="AW71" i="3"/>
  <c r="AW67" i="3"/>
  <c r="AW63" i="3"/>
  <c r="AW59" i="3"/>
  <c r="AW55" i="3"/>
  <c r="AW51" i="3"/>
  <c r="AW47" i="3"/>
  <c r="AW43" i="3"/>
  <c r="AW39" i="3"/>
  <c r="AW108" i="3"/>
  <c r="AW104" i="3"/>
  <c r="AW100" i="3"/>
  <c r="AW96" i="3"/>
  <c r="AW92" i="3"/>
  <c r="AW88" i="3"/>
  <c r="AW84" i="3"/>
  <c r="AW80" i="3"/>
  <c r="AW76" i="3"/>
  <c r="AW72" i="3"/>
  <c r="AW68" i="3"/>
  <c r="AW64" i="3"/>
  <c r="AW60" i="3"/>
  <c r="AW56" i="3"/>
  <c r="AW52" i="3"/>
  <c r="AW48" i="3"/>
  <c r="AW44" i="3"/>
  <c r="AW40" i="3"/>
  <c r="AW105" i="3"/>
  <c r="AW101" i="3"/>
  <c r="AW97" i="3"/>
  <c r="AW93" i="3"/>
  <c r="AW89" i="3"/>
  <c r="AW85" i="3"/>
  <c r="AW81" i="3"/>
  <c r="AW77" i="3"/>
  <c r="AW73" i="3"/>
  <c r="AW69" i="3"/>
  <c r="AW65" i="3"/>
  <c r="AW61" i="3"/>
  <c r="AW57" i="3"/>
  <c r="AW53" i="3"/>
  <c r="AW49" i="3"/>
  <c r="AW45" i="3"/>
  <c r="AW41" i="3"/>
  <c r="AW106" i="3"/>
  <c r="AW102" i="3"/>
  <c r="AW98" i="3"/>
  <c r="AW94" i="3"/>
  <c r="AW90" i="3"/>
  <c r="AW86" i="3"/>
  <c r="AW82" i="3"/>
  <c r="AW78" i="3"/>
  <c r="AW74" i="3"/>
  <c r="AW70" i="3"/>
  <c r="AW66" i="3"/>
  <c r="AW62" i="3"/>
  <c r="AW58" i="3"/>
  <c r="AW54" i="3"/>
  <c r="AW50" i="3"/>
  <c r="AW46" i="3"/>
  <c r="AW42" i="3"/>
  <c r="AH107" i="3"/>
  <c r="AH103" i="3"/>
  <c r="AH99" i="3"/>
  <c r="AH105" i="3"/>
  <c r="AH101" i="3"/>
  <c r="AH106" i="3"/>
  <c r="AH98" i="3"/>
  <c r="AH94" i="3"/>
  <c r="AH90" i="3"/>
  <c r="AH86" i="3"/>
  <c r="AH82" i="3"/>
  <c r="AH78" i="3"/>
  <c r="AH74" i="3"/>
  <c r="AH70" i="3"/>
  <c r="AH66" i="3"/>
  <c r="AH62" i="3"/>
  <c r="AH58" i="3"/>
  <c r="AH54" i="3"/>
  <c r="AH50" i="3"/>
  <c r="AH46" i="3"/>
  <c r="AH42" i="3"/>
  <c r="AH38" i="3"/>
  <c r="AH108" i="3"/>
  <c r="AH100" i="3"/>
  <c r="AH95" i="3"/>
  <c r="AH91" i="3"/>
  <c r="AH87" i="3"/>
  <c r="AH83" i="3"/>
  <c r="AH79" i="3"/>
  <c r="AH75" i="3"/>
  <c r="AH71" i="3"/>
  <c r="AH67" i="3"/>
  <c r="AH63" i="3"/>
  <c r="AH59" i="3"/>
  <c r="AH55" i="3"/>
  <c r="AH51" i="3"/>
  <c r="AH47" i="3"/>
  <c r="AH43" i="3"/>
  <c r="AH39" i="3"/>
  <c r="AH102" i="3"/>
  <c r="AH96" i="3"/>
  <c r="AH92" i="3"/>
  <c r="AH88" i="3"/>
  <c r="AH84" i="3"/>
  <c r="AH80" i="3"/>
  <c r="AH76" i="3"/>
  <c r="AH72" i="3"/>
  <c r="AH68" i="3"/>
  <c r="AH64" i="3"/>
  <c r="AH60" i="3"/>
  <c r="AH56" i="3"/>
  <c r="AH52" i="3"/>
  <c r="AH48" i="3"/>
  <c r="AH44" i="3"/>
  <c r="AH40" i="3"/>
  <c r="AH36" i="3"/>
  <c r="AH89" i="3"/>
  <c r="AH73" i="3"/>
  <c r="AH57" i="3"/>
  <c r="AH41" i="3"/>
  <c r="AH85" i="3"/>
  <c r="AH53" i="3"/>
  <c r="AH93" i="3"/>
  <c r="AH77" i="3"/>
  <c r="AH61" i="3"/>
  <c r="AH45" i="3"/>
  <c r="AH97" i="3"/>
  <c r="AH81" i="3"/>
  <c r="AH65" i="3"/>
  <c r="AH49" i="3"/>
  <c r="AH104" i="3"/>
  <c r="AH69" i="3"/>
  <c r="AH37" i="3"/>
  <c r="K29" i="3"/>
  <c r="U29" i="6" s="1"/>
  <c r="K28" i="3"/>
  <c r="AO6" i="1"/>
  <c r="Q6" i="1"/>
  <c r="U6" i="1"/>
  <c r="W52" i="1" s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T13" i="3" l="1"/>
  <c r="T14" i="3"/>
  <c r="T10" i="3"/>
  <c r="T12" i="3"/>
  <c r="T9" i="3"/>
  <c r="T11" i="3"/>
  <c r="AS19" i="3"/>
  <c r="Y15" i="3"/>
  <c r="AI16" i="3"/>
  <c r="AN18" i="3"/>
  <c r="AX18" i="3"/>
  <c r="AD15" i="3"/>
  <c r="AD13" i="3"/>
  <c r="AS18" i="3"/>
  <c r="Y10" i="3"/>
  <c r="AI13" i="3"/>
  <c r="AN17" i="3"/>
  <c r="AN15" i="3"/>
  <c r="AX15" i="3"/>
  <c r="AD11" i="3"/>
  <c r="AD14" i="3"/>
  <c r="AD12" i="3"/>
  <c r="AS17" i="3"/>
  <c r="Y14" i="3"/>
  <c r="AI15" i="3"/>
  <c r="AN13" i="3"/>
  <c r="AX20" i="3"/>
  <c r="AS14" i="3"/>
  <c r="Y12" i="3"/>
  <c r="AX16" i="3"/>
  <c r="AX17" i="3"/>
  <c r="AX19" i="3"/>
  <c r="AD16" i="3"/>
  <c r="AS16" i="3"/>
  <c r="AS15" i="3"/>
  <c r="Y13" i="3"/>
  <c r="Y11" i="3"/>
  <c r="AI12" i="3"/>
  <c r="AI17" i="3"/>
  <c r="AI14" i="3"/>
  <c r="AN14" i="3"/>
  <c r="AN16" i="3"/>
  <c r="AX108" i="3"/>
  <c r="AX104" i="3"/>
  <c r="AX100" i="3"/>
  <c r="AX96" i="3"/>
  <c r="AX92" i="3"/>
  <c r="AX88" i="3"/>
  <c r="AX84" i="3"/>
  <c r="AX80" i="3"/>
  <c r="AX76" i="3"/>
  <c r="AX72" i="3"/>
  <c r="AX68" i="3"/>
  <c r="AX64" i="3"/>
  <c r="AX60" i="3"/>
  <c r="AX56" i="3"/>
  <c r="AX52" i="3"/>
  <c r="AX48" i="3"/>
  <c r="AX44" i="3"/>
  <c r="AX40" i="3"/>
  <c r="AX36" i="3"/>
  <c r="AX32" i="3"/>
  <c r="AX28" i="3"/>
  <c r="AN105" i="3"/>
  <c r="AN101" i="3"/>
  <c r="AN97" i="3"/>
  <c r="AN93" i="3"/>
  <c r="AN89" i="3"/>
  <c r="AN85" i="3"/>
  <c r="AN81" i="3"/>
  <c r="AN77" i="3"/>
  <c r="AN73" i="3"/>
  <c r="AN69" i="3"/>
  <c r="AN65" i="3"/>
  <c r="AN61" i="3"/>
  <c r="AN57" i="3"/>
  <c r="AN53" i="3"/>
  <c r="AN49" i="3"/>
  <c r="AN45" i="3"/>
  <c r="AN41" i="3"/>
  <c r="AN37" i="3"/>
  <c r="AN33" i="3"/>
  <c r="AN29" i="3"/>
  <c r="AS105" i="3"/>
  <c r="AS101" i="3"/>
  <c r="AS97" i="3"/>
  <c r="AS93" i="3"/>
  <c r="AS89" i="3"/>
  <c r="AS85" i="3"/>
  <c r="AS81" i="3"/>
  <c r="AS77" i="3"/>
  <c r="AS73" i="3"/>
  <c r="AS69" i="3"/>
  <c r="AS65" i="3"/>
  <c r="AS61" i="3"/>
  <c r="AS57" i="3"/>
  <c r="AS53" i="3"/>
  <c r="AS49" i="3"/>
  <c r="AS45" i="3"/>
  <c r="AS41" i="3"/>
  <c r="AS37" i="3"/>
  <c r="AS33" i="3"/>
  <c r="AS29" i="3"/>
  <c r="AI28" i="3"/>
  <c r="Y28" i="3"/>
  <c r="AX26" i="3"/>
  <c r="AN26" i="3"/>
  <c r="AD26" i="3"/>
  <c r="AS24" i="3"/>
  <c r="AI24" i="3"/>
  <c r="Y24" i="3"/>
  <c r="AX22" i="3"/>
  <c r="AN22" i="3"/>
  <c r="AD22" i="3"/>
  <c r="AS20" i="3"/>
  <c r="AI20" i="3"/>
  <c r="Y20" i="3"/>
  <c r="AV19" i="3"/>
  <c r="AD18" i="3"/>
  <c r="AQ17" i="3"/>
  <c r="AG17" i="3"/>
  <c r="Y16" i="3"/>
  <c r="AV15" i="3"/>
  <c r="AL15" i="3"/>
  <c r="AB15" i="3"/>
  <c r="AX107" i="3"/>
  <c r="AX103" i="3"/>
  <c r="AX99" i="3"/>
  <c r="AX95" i="3"/>
  <c r="AX91" i="3"/>
  <c r="AX87" i="3"/>
  <c r="AX83" i="3"/>
  <c r="AX79" i="3"/>
  <c r="AX75" i="3"/>
  <c r="AX71" i="3"/>
  <c r="AX67" i="3"/>
  <c r="AX63" i="3"/>
  <c r="AX59" i="3"/>
  <c r="AX55" i="3"/>
  <c r="AX51" i="3"/>
  <c r="AX47" i="3"/>
  <c r="AX43" i="3"/>
  <c r="AX39" i="3"/>
  <c r="AX35" i="3"/>
  <c r="AX31" i="3"/>
  <c r="AN108" i="3"/>
  <c r="AN104" i="3"/>
  <c r="AN100" i="3"/>
  <c r="AN96" i="3"/>
  <c r="AN92" i="3"/>
  <c r="AN88" i="3"/>
  <c r="AN84" i="3"/>
  <c r="AN80" i="3"/>
  <c r="AN76" i="3"/>
  <c r="AN72" i="3"/>
  <c r="AN68" i="3"/>
  <c r="AN64" i="3"/>
  <c r="AN60" i="3"/>
  <c r="AN56" i="3"/>
  <c r="AN52" i="3"/>
  <c r="AN48" i="3"/>
  <c r="AN44" i="3"/>
  <c r="AN40" i="3"/>
  <c r="AN36" i="3"/>
  <c r="AN32" i="3"/>
  <c r="AS108" i="3"/>
  <c r="AS104" i="3"/>
  <c r="AS100" i="3"/>
  <c r="AS96" i="3"/>
  <c r="AS92" i="3"/>
  <c r="AS88" i="3"/>
  <c r="AS84" i="3"/>
  <c r="AS80" i="3"/>
  <c r="AS76" i="3"/>
  <c r="AS72" i="3"/>
  <c r="AS68" i="3"/>
  <c r="AS64" i="3"/>
  <c r="AS60" i="3"/>
  <c r="AS56" i="3"/>
  <c r="AS52" i="3"/>
  <c r="AS48" i="3"/>
  <c r="AS44" i="3"/>
  <c r="AS40" i="3"/>
  <c r="AS36" i="3"/>
  <c r="AS32" i="3"/>
  <c r="AS28" i="3"/>
  <c r="AS27" i="3"/>
  <c r="AI27" i="3"/>
  <c r="Y27" i="3"/>
  <c r="AX25" i="3"/>
  <c r="AN25" i="3"/>
  <c r="AD25" i="3"/>
  <c r="AS23" i="3"/>
  <c r="AI23" i="3"/>
  <c r="Y23" i="3"/>
  <c r="AX21" i="3"/>
  <c r="AN21" i="3"/>
  <c r="AD21" i="3"/>
  <c r="AI19" i="3"/>
  <c r="Y19" i="3"/>
  <c r="AV18" i="3"/>
  <c r="AL18" i="3"/>
  <c r="AD17" i="3"/>
  <c r="AQ16" i="3"/>
  <c r="AG16" i="3"/>
  <c r="AV14" i="3"/>
  <c r="AL14" i="3"/>
  <c r="AB14" i="3"/>
  <c r="R13" i="3"/>
  <c r="AQ12" i="3"/>
  <c r="AX106" i="3"/>
  <c r="AX102" i="3"/>
  <c r="AX98" i="3"/>
  <c r="AX94" i="3"/>
  <c r="AX90" i="3"/>
  <c r="AX86" i="3"/>
  <c r="AX82" i="3"/>
  <c r="AX78" i="3"/>
  <c r="AX74" i="3"/>
  <c r="AX70" i="3"/>
  <c r="AX66" i="3"/>
  <c r="AX62" i="3"/>
  <c r="AX58" i="3"/>
  <c r="AX54" i="3"/>
  <c r="AX50" i="3"/>
  <c r="AX46" i="3"/>
  <c r="AX42" i="3"/>
  <c r="AX38" i="3"/>
  <c r="AX34" i="3"/>
  <c r="AX30" i="3"/>
  <c r="AN107" i="3"/>
  <c r="AN103" i="3"/>
  <c r="AN99" i="3"/>
  <c r="AN95" i="3"/>
  <c r="AN91" i="3"/>
  <c r="AN87" i="3"/>
  <c r="AN83" i="3"/>
  <c r="AN79" i="3"/>
  <c r="AN75" i="3"/>
  <c r="AN71" i="3"/>
  <c r="AN67" i="3"/>
  <c r="AN63" i="3"/>
  <c r="AN59" i="3"/>
  <c r="AN55" i="3"/>
  <c r="AN51" i="3"/>
  <c r="AN47" i="3"/>
  <c r="AN43" i="3"/>
  <c r="AN39" i="3"/>
  <c r="AN35" i="3"/>
  <c r="AN31" i="3"/>
  <c r="AS107" i="3"/>
  <c r="AS103" i="3"/>
  <c r="AS99" i="3"/>
  <c r="AS95" i="3"/>
  <c r="AS91" i="3"/>
  <c r="AS87" i="3"/>
  <c r="AS83" i="3"/>
  <c r="AS79" i="3"/>
  <c r="AS75" i="3"/>
  <c r="AS71" i="3"/>
  <c r="AS67" i="3"/>
  <c r="AS63" i="3"/>
  <c r="AS59" i="3"/>
  <c r="AS55" i="3"/>
  <c r="AS51" i="3"/>
  <c r="AS47" i="3"/>
  <c r="AS43" i="3"/>
  <c r="AS39" i="3"/>
  <c r="AS35" i="3"/>
  <c r="AS31" i="3"/>
  <c r="AN28" i="3"/>
  <c r="AD28" i="3"/>
  <c r="AS26" i="3"/>
  <c r="AI26" i="3"/>
  <c r="Y26" i="3"/>
  <c r="AX24" i="3"/>
  <c r="AN24" i="3"/>
  <c r="AD24" i="3"/>
  <c r="AS22" i="3"/>
  <c r="AI22" i="3"/>
  <c r="Y22" i="3"/>
  <c r="AN20" i="3"/>
  <c r="AD20" i="3"/>
  <c r="AQ19" i="3"/>
  <c r="AI18" i="3"/>
  <c r="Y18" i="3"/>
  <c r="AV17" i="3"/>
  <c r="AL17" i="3"/>
  <c r="AX105" i="3"/>
  <c r="AX101" i="3"/>
  <c r="AX97" i="3"/>
  <c r="AX93" i="3"/>
  <c r="AX89" i="3"/>
  <c r="AX85" i="3"/>
  <c r="AX81" i="3"/>
  <c r="AX77" i="3"/>
  <c r="AX73" i="3"/>
  <c r="AX69" i="3"/>
  <c r="AX65" i="3"/>
  <c r="AX61" i="3"/>
  <c r="AX57" i="3"/>
  <c r="AX53" i="3"/>
  <c r="AX49" i="3"/>
  <c r="AX45" i="3"/>
  <c r="AX41" i="3"/>
  <c r="AX37" i="3"/>
  <c r="AX33" i="3"/>
  <c r="AX29" i="3"/>
  <c r="AN106" i="3"/>
  <c r="AN102" i="3"/>
  <c r="AN98" i="3"/>
  <c r="AN94" i="3"/>
  <c r="AN90" i="3"/>
  <c r="AN86" i="3"/>
  <c r="AN82" i="3"/>
  <c r="AN78" i="3"/>
  <c r="AN74" i="3"/>
  <c r="AN70" i="3"/>
  <c r="AN66" i="3"/>
  <c r="AN62" i="3"/>
  <c r="AN58" i="3"/>
  <c r="AN54" i="3"/>
  <c r="AN50" i="3"/>
  <c r="AN46" i="3"/>
  <c r="AN42" i="3"/>
  <c r="AN38" i="3"/>
  <c r="AN34" i="3"/>
  <c r="AN30" i="3"/>
  <c r="AS106" i="3"/>
  <c r="AS102" i="3"/>
  <c r="AS98" i="3"/>
  <c r="AS94" i="3"/>
  <c r="AS90" i="3"/>
  <c r="AS86" i="3"/>
  <c r="AS82" i="3"/>
  <c r="AS78" i="3"/>
  <c r="AS74" i="3"/>
  <c r="AS70" i="3"/>
  <c r="AS66" i="3"/>
  <c r="AS62" i="3"/>
  <c r="AS58" i="3"/>
  <c r="AS54" i="3"/>
  <c r="AS50" i="3"/>
  <c r="AS46" i="3"/>
  <c r="AS42" i="3"/>
  <c r="AS38" i="3"/>
  <c r="AS34" i="3"/>
  <c r="AS30" i="3"/>
  <c r="AX27" i="3"/>
  <c r="AN27" i="3"/>
  <c r="AD27" i="3"/>
  <c r="AS25" i="3"/>
  <c r="AI25" i="3"/>
  <c r="Y25" i="3"/>
  <c r="AX23" i="3"/>
  <c r="AN23" i="3"/>
  <c r="AD23" i="3"/>
  <c r="AS21" i="3"/>
  <c r="AI21" i="3"/>
  <c r="Y21" i="3"/>
  <c r="AV20" i="3"/>
  <c r="AN19" i="3"/>
  <c r="AD19" i="3"/>
  <c r="AQ18" i="3"/>
  <c r="Y17" i="3"/>
  <c r="AV16" i="3"/>
  <c r="AL16" i="3"/>
  <c r="AB16" i="3"/>
  <c r="AQ14" i="3"/>
  <c r="AG14" i="3"/>
  <c r="W14" i="3"/>
  <c r="AV12" i="3"/>
  <c r="R12" i="3"/>
  <c r="AQ11" i="3"/>
  <c r="AG11" i="3"/>
  <c r="W11" i="3"/>
  <c r="AV9" i="3"/>
  <c r="AL9" i="3"/>
  <c r="AB9" i="3"/>
  <c r="R8" i="3"/>
  <c r="AI108" i="3"/>
  <c r="Y108" i="3"/>
  <c r="AD107" i="3"/>
  <c r="AI106" i="3"/>
  <c r="Y106" i="3"/>
  <c r="AD105" i="3"/>
  <c r="AI104" i="3"/>
  <c r="Y104" i="3"/>
  <c r="AD103" i="3"/>
  <c r="AI102" i="3"/>
  <c r="Y102" i="3"/>
  <c r="AD101" i="3"/>
  <c r="AI100" i="3"/>
  <c r="Y100" i="3"/>
  <c r="AD99" i="3"/>
  <c r="AI98" i="3"/>
  <c r="Y98" i="3"/>
  <c r="AD97" i="3"/>
  <c r="AI96" i="3"/>
  <c r="Y96" i="3"/>
  <c r="AD95" i="3"/>
  <c r="AI94" i="3"/>
  <c r="Y94" i="3"/>
  <c r="AD93" i="3"/>
  <c r="AI92" i="3"/>
  <c r="Y92" i="3"/>
  <c r="AD91" i="3"/>
  <c r="AI90" i="3"/>
  <c r="Y90" i="3"/>
  <c r="AD89" i="3"/>
  <c r="AI88" i="3"/>
  <c r="Y88" i="3"/>
  <c r="AD87" i="3"/>
  <c r="AI86" i="3"/>
  <c r="Y86" i="3"/>
  <c r="AD85" i="3"/>
  <c r="AI84" i="3"/>
  <c r="Y84" i="3"/>
  <c r="AD83" i="3"/>
  <c r="AI82" i="3"/>
  <c r="Y82" i="3"/>
  <c r="AD81" i="3"/>
  <c r="AI80" i="3"/>
  <c r="Y80" i="3"/>
  <c r="AD79" i="3"/>
  <c r="AI78" i="3"/>
  <c r="Y78" i="3"/>
  <c r="AD77" i="3"/>
  <c r="AI76" i="3"/>
  <c r="Y76" i="3"/>
  <c r="AD75" i="3"/>
  <c r="AI74" i="3"/>
  <c r="Y74" i="3"/>
  <c r="AD73" i="3"/>
  <c r="AI72" i="3"/>
  <c r="Y72" i="3"/>
  <c r="AD71" i="3"/>
  <c r="AI70" i="3"/>
  <c r="Y70" i="3"/>
  <c r="AD69" i="3"/>
  <c r="AI68" i="3"/>
  <c r="Y68" i="3"/>
  <c r="AD67" i="3"/>
  <c r="AI66" i="3"/>
  <c r="Y66" i="3"/>
  <c r="AD65" i="3"/>
  <c r="AI64" i="3"/>
  <c r="Y64" i="3"/>
  <c r="AD63" i="3"/>
  <c r="AI62" i="3"/>
  <c r="Y62" i="3"/>
  <c r="AD61" i="3"/>
  <c r="AI60" i="3"/>
  <c r="Y60" i="3"/>
  <c r="AD59" i="3"/>
  <c r="AI58" i="3"/>
  <c r="Y58" i="3"/>
  <c r="W15" i="3"/>
  <c r="R14" i="3"/>
  <c r="AQ13" i="3"/>
  <c r="AG13" i="3"/>
  <c r="W13" i="3"/>
  <c r="AL12" i="3"/>
  <c r="AB12" i="3"/>
  <c r="R11" i="3"/>
  <c r="AQ10" i="3"/>
  <c r="AG10" i="3"/>
  <c r="W10" i="3"/>
  <c r="AV8" i="3"/>
  <c r="AL8" i="3"/>
  <c r="AB8" i="3"/>
  <c r="AG15" i="3"/>
  <c r="AV11" i="3"/>
  <c r="AL11" i="3"/>
  <c r="AB11" i="3"/>
  <c r="R10" i="3"/>
  <c r="AQ9" i="3"/>
  <c r="AG9" i="3"/>
  <c r="W9" i="3"/>
  <c r="AD108" i="3"/>
  <c r="AI107" i="3"/>
  <c r="Y107" i="3"/>
  <c r="AD106" i="3"/>
  <c r="AI105" i="3"/>
  <c r="Y105" i="3"/>
  <c r="AD104" i="3"/>
  <c r="AI103" i="3"/>
  <c r="Y103" i="3"/>
  <c r="AD102" i="3"/>
  <c r="AI101" i="3"/>
  <c r="Y101" i="3"/>
  <c r="AD100" i="3"/>
  <c r="AI99" i="3"/>
  <c r="Y99" i="3"/>
  <c r="AD98" i="3"/>
  <c r="AI97" i="3"/>
  <c r="Y97" i="3"/>
  <c r="AD96" i="3"/>
  <c r="AI95" i="3"/>
  <c r="Y95" i="3"/>
  <c r="AD94" i="3"/>
  <c r="AI93" i="3"/>
  <c r="Y93" i="3"/>
  <c r="AD92" i="3"/>
  <c r="AI91" i="3"/>
  <c r="Y91" i="3"/>
  <c r="AD90" i="3"/>
  <c r="AI89" i="3"/>
  <c r="Y89" i="3"/>
  <c r="AD88" i="3"/>
  <c r="AI87" i="3"/>
  <c r="Y87" i="3"/>
  <c r="AD86" i="3"/>
  <c r="AI85" i="3"/>
  <c r="Y85" i="3"/>
  <c r="AD84" i="3"/>
  <c r="AI83" i="3"/>
  <c r="Y83" i="3"/>
  <c r="AD82" i="3"/>
  <c r="AI81" i="3"/>
  <c r="Y81" i="3"/>
  <c r="AD80" i="3"/>
  <c r="AI79" i="3"/>
  <c r="Y79" i="3"/>
  <c r="AD78" i="3"/>
  <c r="AI77" i="3"/>
  <c r="Y77" i="3"/>
  <c r="AD76" i="3"/>
  <c r="AI75" i="3"/>
  <c r="Y75" i="3"/>
  <c r="AD74" i="3"/>
  <c r="AI73" i="3"/>
  <c r="Y73" i="3"/>
  <c r="AD72" i="3"/>
  <c r="AI71" i="3"/>
  <c r="Y71" i="3"/>
  <c r="AD70" i="3"/>
  <c r="AI69" i="3"/>
  <c r="Y69" i="3"/>
  <c r="AD68" i="3"/>
  <c r="AI67" i="3"/>
  <c r="Y67" i="3"/>
  <c r="AD66" i="3"/>
  <c r="AI65" i="3"/>
  <c r="Y65" i="3"/>
  <c r="AD64" i="3"/>
  <c r="AI63" i="3"/>
  <c r="Y63" i="3"/>
  <c r="AD62" i="3"/>
  <c r="AI61" i="3"/>
  <c r="Y61" i="3"/>
  <c r="AD60" i="3"/>
  <c r="AI59" i="3"/>
  <c r="Y59" i="3"/>
  <c r="AD58" i="3"/>
  <c r="AV13" i="3"/>
  <c r="AG12" i="3"/>
  <c r="AQ8" i="3"/>
  <c r="Y42" i="3"/>
  <c r="AI40" i="3"/>
  <c r="AI38" i="3"/>
  <c r="AI36" i="3"/>
  <c r="AD35" i="3"/>
  <c r="AI34" i="3"/>
  <c r="AD33" i="3"/>
  <c r="AI32" i="3"/>
  <c r="AI30" i="3"/>
  <c r="AD29" i="3"/>
  <c r="Y55" i="3"/>
  <c r="AI53" i="3"/>
  <c r="AD52" i="3"/>
  <c r="Y51" i="3"/>
  <c r="AI49" i="3"/>
  <c r="AD48" i="3"/>
  <c r="Y45" i="3"/>
  <c r="Y43" i="3"/>
  <c r="AI41" i="3"/>
  <c r="AD40" i="3"/>
  <c r="Y39" i="3"/>
  <c r="AI37" i="3"/>
  <c r="AD36" i="3"/>
  <c r="Y35" i="3"/>
  <c r="AI33" i="3"/>
  <c r="AD32" i="3"/>
  <c r="Y29" i="3"/>
  <c r="AB10" i="3"/>
  <c r="R9" i="3"/>
  <c r="AD57" i="3"/>
  <c r="AI56" i="3"/>
  <c r="Y56" i="3"/>
  <c r="AD55" i="3"/>
  <c r="AI54" i="3"/>
  <c r="Y54" i="3"/>
  <c r="AD53" i="3"/>
  <c r="AI52" i="3"/>
  <c r="Y52" i="3"/>
  <c r="AD51" i="3"/>
  <c r="AI50" i="3"/>
  <c r="Y50" i="3"/>
  <c r="AD49" i="3"/>
  <c r="AI48" i="3"/>
  <c r="Y48" i="3"/>
  <c r="AD47" i="3"/>
  <c r="AI46" i="3"/>
  <c r="Y46" i="3"/>
  <c r="AD45" i="3"/>
  <c r="AI44" i="3"/>
  <c r="Y44" i="3"/>
  <c r="AD43" i="3"/>
  <c r="AI42" i="3"/>
  <c r="AD41" i="3"/>
  <c r="Y40" i="3"/>
  <c r="AD39" i="3"/>
  <c r="Y38" i="3"/>
  <c r="AD37" i="3"/>
  <c r="Y36" i="3"/>
  <c r="Y34" i="3"/>
  <c r="Y32" i="3"/>
  <c r="AD31" i="3"/>
  <c r="Y30" i="3"/>
  <c r="AI55" i="3"/>
  <c r="AI51" i="3"/>
  <c r="Y49" i="3"/>
  <c r="AI47" i="3"/>
  <c r="AI45" i="3"/>
  <c r="AI43" i="3"/>
  <c r="Y41" i="3"/>
  <c r="AI39" i="3"/>
  <c r="AI35" i="3"/>
  <c r="Y31" i="3"/>
  <c r="AI29" i="3"/>
  <c r="AB13" i="3"/>
  <c r="AL10" i="3"/>
  <c r="W8" i="3"/>
  <c r="AQ15" i="3"/>
  <c r="AL13" i="3"/>
  <c r="W12" i="3"/>
  <c r="AV10" i="3"/>
  <c r="AG8" i="3"/>
  <c r="AI57" i="3"/>
  <c r="Y57" i="3"/>
  <c r="AD56" i="3"/>
  <c r="AD54" i="3"/>
  <c r="Y53" i="3"/>
  <c r="AD50" i="3"/>
  <c r="Y47" i="3"/>
  <c r="AD46" i="3"/>
  <c r="AD44" i="3"/>
  <c r="AD42" i="3"/>
  <c r="AD38" i="3"/>
  <c r="Y37" i="3"/>
  <c r="AD34" i="3"/>
  <c r="Y33" i="3"/>
  <c r="AI31" i="3"/>
  <c r="AD30" i="3"/>
  <c r="U28" i="6"/>
  <c r="T15" i="3"/>
  <c r="T19" i="3"/>
  <c r="T23" i="3"/>
  <c r="T27" i="3"/>
  <c r="T31" i="3"/>
  <c r="T35" i="3"/>
  <c r="T39" i="3"/>
  <c r="T43" i="3"/>
  <c r="T47" i="3"/>
  <c r="T51" i="3"/>
  <c r="T55" i="3"/>
  <c r="T59" i="3"/>
  <c r="T63" i="3"/>
  <c r="T67" i="3"/>
  <c r="T71" i="3"/>
  <c r="T75" i="3"/>
  <c r="T79" i="3"/>
  <c r="T83" i="3"/>
  <c r="T87" i="3"/>
  <c r="T91" i="3"/>
  <c r="T95" i="3"/>
  <c r="T99" i="3"/>
  <c r="T103" i="3"/>
  <c r="T107" i="3"/>
  <c r="T16" i="3"/>
  <c r="T20" i="3"/>
  <c r="T24" i="3"/>
  <c r="T28" i="3"/>
  <c r="T32" i="3"/>
  <c r="T36" i="3"/>
  <c r="T40" i="3"/>
  <c r="T44" i="3"/>
  <c r="T48" i="3"/>
  <c r="T52" i="3"/>
  <c r="T56" i="3"/>
  <c r="T60" i="3"/>
  <c r="T64" i="3"/>
  <c r="T68" i="3"/>
  <c r="T72" i="3"/>
  <c r="T76" i="3"/>
  <c r="T80" i="3"/>
  <c r="T84" i="3"/>
  <c r="T88" i="3"/>
  <c r="T92" i="3"/>
  <c r="T96" i="3"/>
  <c r="T100" i="3"/>
  <c r="T104" i="3"/>
  <c r="T108" i="3"/>
  <c r="T17" i="3"/>
  <c r="T21" i="3"/>
  <c r="T25" i="3"/>
  <c r="T29" i="3"/>
  <c r="T33" i="3"/>
  <c r="T37" i="3"/>
  <c r="T41" i="3"/>
  <c r="T45" i="3"/>
  <c r="T49" i="3"/>
  <c r="T53" i="3"/>
  <c r="T57" i="3"/>
  <c r="T61" i="3"/>
  <c r="T65" i="3"/>
  <c r="T69" i="3"/>
  <c r="T73" i="3"/>
  <c r="T77" i="3"/>
  <c r="T81" i="3"/>
  <c r="T85" i="3"/>
  <c r="T89" i="3"/>
  <c r="T93" i="3"/>
  <c r="T97" i="3"/>
  <c r="T101" i="3"/>
  <c r="T105" i="3"/>
  <c r="T18" i="3"/>
  <c r="T34" i="3"/>
  <c r="T50" i="3"/>
  <c r="T66" i="3"/>
  <c r="T82" i="3"/>
  <c r="T98" i="3"/>
  <c r="T22" i="3"/>
  <c r="T42" i="3"/>
  <c r="T62" i="3"/>
  <c r="T86" i="3"/>
  <c r="T106" i="3"/>
  <c r="T38" i="3"/>
  <c r="T58" i="3"/>
  <c r="T78" i="3"/>
  <c r="T102" i="3"/>
  <c r="T26" i="3"/>
  <c r="T70" i="3"/>
  <c r="T94" i="3"/>
  <c r="T30" i="3"/>
  <c r="T74" i="3"/>
  <c r="T46" i="3"/>
  <c r="T90" i="3"/>
  <c r="T54" i="3"/>
  <c r="W54" i="1"/>
  <c r="W100" i="1"/>
  <c r="W78" i="1"/>
  <c r="W70" i="1"/>
  <c r="W94" i="1"/>
  <c r="B41" i="3"/>
  <c r="W36" i="1"/>
  <c r="W86" i="1"/>
  <c r="W68" i="1"/>
  <c r="W46" i="1"/>
  <c r="W102" i="1"/>
  <c r="W84" i="1"/>
  <c r="W62" i="1"/>
  <c r="AU5" i="3"/>
  <c r="B41" i="1"/>
  <c r="B36" i="3"/>
  <c r="W108" i="1"/>
  <c r="W92" i="1"/>
  <c r="W76" i="1"/>
  <c r="W60" i="1"/>
  <c r="W44" i="1"/>
  <c r="W106" i="1"/>
  <c r="W98" i="1"/>
  <c r="W90" i="1"/>
  <c r="W82" i="1"/>
  <c r="W74" i="1"/>
  <c r="W66" i="1"/>
  <c r="W58" i="1"/>
  <c r="W50" i="1"/>
  <c r="W42" i="1"/>
  <c r="W104" i="1"/>
  <c r="W96" i="1"/>
  <c r="W88" i="1"/>
  <c r="W80" i="1"/>
  <c r="W72" i="1"/>
  <c r="W64" i="1"/>
  <c r="W56" i="1"/>
  <c r="W48" i="1"/>
  <c r="W40" i="1"/>
  <c r="W107" i="1"/>
  <c r="W103" i="1"/>
  <c r="W99" i="1"/>
  <c r="W95" i="1"/>
  <c r="W91" i="1"/>
  <c r="W87" i="1"/>
  <c r="W83" i="1"/>
  <c r="W79" i="1"/>
  <c r="W75" i="1"/>
  <c r="W71" i="1"/>
  <c r="W67" i="1"/>
  <c r="W63" i="1"/>
  <c r="W59" i="1"/>
  <c r="W55" i="1"/>
  <c r="W51" i="1"/>
  <c r="W47" i="1"/>
  <c r="W43" i="1"/>
  <c r="W39" i="1"/>
  <c r="W35" i="1"/>
  <c r="W38" i="1"/>
  <c r="W34" i="1"/>
  <c r="W105" i="1"/>
  <c r="W101" i="1"/>
  <c r="W97" i="1"/>
  <c r="W93" i="1"/>
  <c r="W89" i="1"/>
  <c r="W85" i="1"/>
  <c r="W81" i="1"/>
  <c r="W77" i="1"/>
  <c r="W73" i="1"/>
  <c r="W69" i="1"/>
  <c r="W65" i="1"/>
  <c r="W61" i="1"/>
  <c r="W57" i="1"/>
  <c r="W53" i="1"/>
  <c r="W49" i="1"/>
  <c r="W45" i="1"/>
  <c r="W41" i="1"/>
  <c r="W37" i="1"/>
  <c r="B35" i="1"/>
  <c r="AK6" i="1"/>
  <c r="AG6" i="1"/>
  <c r="AC6" i="1"/>
  <c r="Y6" i="1"/>
  <c r="V80" i="1"/>
  <c r="Q8" i="3" l="1"/>
  <c r="Q9" i="3" s="1"/>
  <c r="Q10" i="3" s="1"/>
  <c r="AA5" i="4"/>
  <c r="B38" i="3"/>
  <c r="AF5" i="3"/>
  <c r="B40" i="3"/>
  <c r="AP5" i="3"/>
  <c r="B39" i="3"/>
  <c r="AK5" i="3"/>
  <c r="B37" i="3"/>
  <c r="AA5" i="3"/>
  <c r="AH107" i="1"/>
  <c r="AM108" i="1"/>
  <c r="AA100" i="1"/>
  <c r="AD106" i="1" a="1"/>
  <c r="AD106" i="1" s="1"/>
  <c r="AI47" i="1"/>
  <c r="AI63" i="1"/>
  <c r="AH68" i="1"/>
  <c r="AH42" i="1"/>
  <c r="AH52" i="1"/>
  <c r="AH74" i="1"/>
  <c r="AI95" i="1"/>
  <c r="AH90" i="1"/>
  <c r="AH36" i="1"/>
  <c r="AH58" i="1"/>
  <c r="AI79" i="1"/>
  <c r="AH100" i="1"/>
  <c r="AH84" i="1"/>
  <c r="AQ45" i="1"/>
  <c r="AQ57" i="1"/>
  <c r="AQ65" i="1"/>
  <c r="AQ81" i="1"/>
  <c r="AQ93" i="1"/>
  <c r="AQ101" i="1"/>
  <c r="B36" i="1"/>
  <c r="AP30" i="1"/>
  <c r="AP34" i="1"/>
  <c r="AP38" i="1"/>
  <c r="AP42" i="1"/>
  <c r="AP46" i="1"/>
  <c r="AP50" i="1"/>
  <c r="AP54" i="1"/>
  <c r="AP58" i="1"/>
  <c r="AP62" i="1"/>
  <c r="AP66" i="1"/>
  <c r="AP70" i="1"/>
  <c r="AP74" i="1"/>
  <c r="AP78" i="1"/>
  <c r="AP82" i="1"/>
  <c r="AP86" i="1"/>
  <c r="AP90" i="1"/>
  <c r="AP94" i="1"/>
  <c r="AP98" i="1"/>
  <c r="AP102" i="1"/>
  <c r="AP106" i="1"/>
  <c r="AQ49" i="1"/>
  <c r="AQ61" i="1"/>
  <c r="AQ73" i="1"/>
  <c r="AQ85" i="1"/>
  <c r="AQ97" i="1"/>
  <c r="B40" i="1"/>
  <c r="AQ39" i="1"/>
  <c r="AQ43" i="1"/>
  <c r="AQ47" i="1"/>
  <c r="AQ51" i="1"/>
  <c r="AQ55" i="1"/>
  <c r="AQ59" i="1"/>
  <c r="AQ63" i="1"/>
  <c r="AQ67" i="1"/>
  <c r="AQ71" i="1"/>
  <c r="AQ75" i="1"/>
  <c r="AQ79" i="1"/>
  <c r="AQ83" i="1"/>
  <c r="AQ87" i="1"/>
  <c r="AQ91" i="1"/>
  <c r="AQ95" i="1"/>
  <c r="AQ99" i="1"/>
  <c r="AQ103" i="1"/>
  <c r="AQ107" i="1"/>
  <c r="AQ41" i="1"/>
  <c r="AQ53" i="1"/>
  <c r="AQ69" i="1"/>
  <c r="AQ77" i="1"/>
  <c r="AQ89" i="1"/>
  <c r="AQ105" i="1"/>
  <c r="B39" i="1"/>
  <c r="AP32" i="1"/>
  <c r="AP36" i="1"/>
  <c r="AP40" i="1"/>
  <c r="AP44" i="1"/>
  <c r="AP48" i="1"/>
  <c r="AP52" i="1"/>
  <c r="AP56" i="1"/>
  <c r="AP60" i="1"/>
  <c r="AP64" i="1"/>
  <c r="AP68" i="1"/>
  <c r="AP72" i="1"/>
  <c r="AP76" i="1"/>
  <c r="AP80" i="1"/>
  <c r="AP84" i="1"/>
  <c r="AP88" i="1"/>
  <c r="AP92" i="1"/>
  <c r="AP96" i="1"/>
  <c r="AP100" i="1"/>
  <c r="AP104" i="1"/>
  <c r="AP108" i="1"/>
  <c r="B37" i="1"/>
  <c r="AQ40" i="1"/>
  <c r="AQ42" i="1"/>
  <c r="AQ44" i="1"/>
  <c r="AQ46" i="1"/>
  <c r="AQ48" i="1"/>
  <c r="AQ50" i="1"/>
  <c r="AQ52" i="1"/>
  <c r="AQ54" i="1"/>
  <c r="AQ56" i="1"/>
  <c r="AQ58" i="1"/>
  <c r="AQ60" i="1"/>
  <c r="AQ62" i="1"/>
  <c r="AQ64" i="1"/>
  <c r="AQ66" i="1"/>
  <c r="AQ68" i="1"/>
  <c r="AQ70" i="1"/>
  <c r="AQ72" i="1"/>
  <c r="AQ74" i="1"/>
  <c r="AQ76" i="1"/>
  <c r="AQ78" i="1"/>
  <c r="AQ80" i="1"/>
  <c r="AQ82" i="1"/>
  <c r="AQ84" i="1"/>
  <c r="AQ86" i="1"/>
  <c r="AQ88" i="1"/>
  <c r="AQ90" i="1"/>
  <c r="AQ92" i="1"/>
  <c r="AQ94" i="1"/>
  <c r="AQ96" i="1"/>
  <c r="AQ98" i="1"/>
  <c r="AQ100" i="1"/>
  <c r="AQ102" i="1"/>
  <c r="AQ104" i="1"/>
  <c r="AQ106" i="1"/>
  <c r="AQ108" i="1"/>
  <c r="B38" i="1"/>
  <c r="AP29" i="1"/>
  <c r="AP31" i="1"/>
  <c r="AP33" i="1"/>
  <c r="AP35" i="1"/>
  <c r="AP37" i="1"/>
  <c r="AP39" i="1"/>
  <c r="AP41" i="1"/>
  <c r="AP43" i="1"/>
  <c r="AP45" i="1"/>
  <c r="AP47" i="1"/>
  <c r="AP49" i="1"/>
  <c r="AP51" i="1"/>
  <c r="AP53" i="1"/>
  <c r="AP55" i="1"/>
  <c r="AP57" i="1"/>
  <c r="AP59" i="1"/>
  <c r="AP61" i="1"/>
  <c r="AP63" i="1"/>
  <c r="AP65" i="1"/>
  <c r="AP67" i="1"/>
  <c r="AP69" i="1"/>
  <c r="AP71" i="1"/>
  <c r="AP73" i="1"/>
  <c r="AP75" i="1"/>
  <c r="AP77" i="1"/>
  <c r="AP79" i="1"/>
  <c r="AP81" i="1"/>
  <c r="AP83" i="1"/>
  <c r="AP85" i="1"/>
  <c r="AP87" i="1"/>
  <c r="AP89" i="1"/>
  <c r="AP91" i="1"/>
  <c r="AP93" i="1"/>
  <c r="AP95" i="1"/>
  <c r="AP97" i="1"/>
  <c r="AP99" i="1"/>
  <c r="AP101" i="1"/>
  <c r="AP103" i="1"/>
  <c r="AP105" i="1"/>
  <c r="AP107" i="1"/>
  <c r="AH32" i="1"/>
  <c r="AI43" i="1"/>
  <c r="AH54" i="1"/>
  <c r="AH64" i="1"/>
  <c r="AI75" i="1"/>
  <c r="AH80" i="1"/>
  <c r="AH86" i="1"/>
  <c r="AI91" i="1"/>
  <c r="AH96" i="1"/>
  <c r="AH102" i="1"/>
  <c r="AH34" i="1"/>
  <c r="AI39" i="1"/>
  <c r="AH44" i="1"/>
  <c r="AH50" i="1"/>
  <c r="AI55" i="1"/>
  <c r="AH60" i="1"/>
  <c r="AH66" i="1"/>
  <c r="AI71" i="1"/>
  <c r="AH76" i="1"/>
  <c r="AH82" i="1"/>
  <c r="AI87" i="1"/>
  <c r="AH92" i="1"/>
  <c r="AH98" i="1"/>
  <c r="AH104" i="1"/>
  <c r="AH28" i="1"/>
  <c r="AH38" i="1"/>
  <c r="AH48" i="1"/>
  <c r="AI59" i="1"/>
  <c r="AH70" i="1"/>
  <c r="AH30" i="1"/>
  <c r="AH40" i="1"/>
  <c r="AH46" i="1"/>
  <c r="AI51" i="1"/>
  <c r="AH56" i="1"/>
  <c r="AH62" i="1"/>
  <c r="AI67" i="1"/>
  <c r="AH72" i="1"/>
  <c r="AH78" i="1"/>
  <c r="AI83" i="1"/>
  <c r="AH88" i="1"/>
  <c r="AH94" i="1"/>
  <c r="AI99" i="1"/>
  <c r="AI103" i="1"/>
  <c r="AH106" i="1"/>
  <c r="AI37" i="1"/>
  <c r="AI41" i="1"/>
  <c r="AI45" i="1"/>
  <c r="AI49" i="1"/>
  <c r="AI53" i="1"/>
  <c r="AI57" i="1"/>
  <c r="AI61" i="1"/>
  <c r="AI65" i="1"/>
  <c r="AI69" i="1"/>
  <c r="AI73" i="1"/>
  <c r="AI77" i="1"/>
  <c r="AI81" i="1"/>
  <c r="AI85" i="1"/>
  <c r="AI89" i="1"/>
  <c r="AI93" i="1"/>
  <c r="AI97" i="1"/>
  <c r="AI101" i="1"/>
  <c r="AI105" i="1"/>
  <c r="AD59" i="1" a="1"/>
  <c r="AD59" i="1" s="1"/>
  <c r="AI38" i="1"/>
  <c r="AI40" i="1"/>
  <c r="AI42" i="1"/>
  <c r="AI44" i="1"/>
  <c r="AI46" i="1"/>
  <c r="AI48" i="1"/>
  <c r="AI50" i="1"/>
  <c r="AI52" i="1"/>
  <c r="AI54" i="1"/>
  <c r="AI56" i="1"/>
  <c r="AI58" i="1"/>
  <c r="AI60" i="1"/>
  <c r="AI62" i="1"/>
  <c r="AI64" i="1"/>
  <c r="AI66" i="1"/>
  <c r="AI68" i="1"/>
  <c r="AI70" i="1"/>
  <c r="AI72" i="1"/>
  <c r="AI74" i="1"/>
  <c r="AI76" i="1"/>
  <c r="AI78" i="1"/>
  <c r="AI80" i="1"/>
  <c r="AI82" i="1"/>
  <c r="AI84" i="1"/>
  <c r="AI86" i="1"/>
  <c r="AI88" i="1"/>
  <c r="AI90" i="1"/>
  <c r="AI92" i="1"/>
  <c r="AI94" i="1"/>
  <c r="AI96" i="1"/>
  <c r="AI98" i="1"/>
  <c r="AI100" i="1"/>
  <c r="AI102" i="1"/>
  <c r="AI104" i="1"/>
  <c r="AI106" i="1"/>
  <c r="AH27" i="1"/>
  <c r="AH29" i="1"/>
  <c r="AH31" i="1"/>
  <c r="AH33" i="1"/>
  <c r="AH35" i="1"/>
  <c r="AH37" i="1"/>
  <c r="AH39" i="1"/>
  <c r="AH41" i="1"/>
  <c r="AH43" i="1"/>
  <c r="AH45" i="1"/>
  <c r="AH47" i="1"/>
  <c r="AH49" i="1"/>
  <c r="AH51" i="1"/>
  <c r="AH53" i="1"/>
  <c r="AH55" i="1"/>
  <c r="AH57" i="1"/>
  <c r="AH59" i="1"/>
  <c r="AH61" i="1"/>
  <c r="AH63" i="1"/>
  <c r="AH65" i="1"/>
  <c r="AH67" i="1"/>
  <c r="AH69" i="1"/>
  <c r="AH71" i="1"/>
  <c r="AH73" i="1"/>
  <c r="AH75" i="1"/>
  <c r="AH77" i="1"/>
  <c r="AH79" i="1"/>
  <c r="AH81" i="1"/>
  <c r="AH83" i="1"/>
  <c r="AH85" i="1"/>
  <c r="AH87" i="1"/>
  <c r="AH89" i="1"/>
  <c r="AH91" i="1"/>
  <c r="AH93" i="1"/>
  <c r="AH95" i="1"/>
  <c r="AH97" i="1"/>
  <c r="AH99" i="1"/>
  <c r="AH101" i="1"/>
  <c r="AH103" i="1"/>
  <c r="AH105" i="1"/>
  <c r="AI107" i="1"/>
  <c r="V56" i="1"/>
  <c r="AD75" i="1" a="1"/>
  <c r="AD75" i="1" s="1"/>
  <c r="AD27" i="1" a="1"/>
  <c r="AD27" i="1" s="1"/>
  <c r="AD91" i="1" a="1"/>
  <c r="AD91" i="1" s="1"/>
  <c r="AD43" i="1" a="1"/>
  <c r="AD43" i="1" s="1"/>
  <c r="V72" i="1"/>
  <c r="AD33" i="1" a="1"/>
  <c r="AD33" i="1" s="1"/>
  <c r="AD49" i="1" a="1"/>
  <c r="AD49" i="1" s="1"/>
  <c r="AD65" i="1" a="1"/>
  <c r="AD65" i="1" s="1"/>
  <c r="AD81" i="1" a="1"/>
  <c r="AD81" i="1" s="1"/>
  <c r="AD97" i="1" a="1"/>
  <c r="AD97" i="1" s="1"/>
  <c r="AD35" i="1" a="1"/>
  <c r="AD35" i="1" s="1"/>
  <c r="AD51" i="1" a="1"/>
  <c r="AD51" i="1" s="1"/>
  <c r="AD67" i="1" a="1"/>
  <c r="AD67" i="1" s="1"/>
  <c r="AD83" i="1" a="1"/>
  <c r="AD83" i="1" s="1"/>
  <c r="AD99" i="1" a="1"/>
  <c r="AD99" i="1" s="1"/>
  <c r="AD41" i="1" a="1"/>
  <c r="AD41" i="1" s="1"/>
  <c r="AD57" i="1" a="1"/>
  <c r="AD57" i="1" s="1"/>
  <c r="AD73" i="1" a="1"/>
  <c r="AD73" i="1" s="1"/>
  <c r="AD89" i="1" a="1"/>
  <c r="AD89" i="1" s="1"/>
  <c r="Z39" i="1"/>
  <c r="Z76" i="1"/>
  <c r="AA44" i="1"/>
  <c r="AA108" i="1"/>
  <c r="Z43" i="1"/>
  <c r="Z84" i="1"/>
  <c r="AA52" i="1"/>
  <c r="V24" i="1"/>
  <c r="V88" i="1"/>
  <c r="Z31" i="1"/>
  <c r="Z47" i="1"/>
  <c r="Z63" i="1"/>
  <c r="Z92" i="1"/>
  <c r="AA60" i="1"/>
  <c r="AA92" i="1"/>
  <c r="AD29" i="1" a="1"/>
  <c r="AD29" i="1" s="1"/>
  <c r="AD37" i="1" a="1"/>
  <c r="AD37" i="1" s="1"/>
  <c r="AD45" i="1" a="1"/>
  <c r="AD45" i="1" s="1"/>
  <c r="AD53" i="1" a="1"/>
  <c r="AD53" i="1" s="1"/>
  <c r="AD61" i="1" a="1"/>
  <c r="AD61" i="1" s="1"/>
  <c r="AD69" i="1" a="1"/>
  <c r="AD69" i="1" s="1"/>
  <c r="AD77" i="1" a="1"/>
  <c r="AD77" i="1" s="1"/>
  <c r="AD85" i="1" a="1"/>
  <c r="AD85" i="1" s="1"/>
  <c r="AD93" i="1" a="1"/>
  <c r="AD93" i="1" s="1"/>
  <c r="AD103" i="1" a="1"/>
  <c r="AD103" i="1" s="1"/>
  <c r="Z55" i="1"/>
  <c r="Z108" i="1"/>
  <c r="AA76" i="1"/>
  <c r="Z27" i="1"/>
  <c r="Z59" i="1"/>
  <c r="AA84" i="1"/>
  <c r="V40" i="1"/>
  <c r="Z35" i="1"/>
  <c r="Z51" i="1"/>
  <c r="Z68" i="1"/>
  <c r="Z100" i="1"/>
  <c r="AA36" i="1"/>
  <c r="AA68" i="1"/>
  <c r="AD31" i="1" a="1"/>
  <c r="AD31" i="1" s="1"/>
  <c r="AD39" i="1" a="1"/>
  <c r="AD39" i="1" s="1"/>
  <c r="AD47" i="1" a="1"/>
  <c r="AD47" i="1" s="1"/>
  <c r="AD55" i="1" a="1"/>
  <c r="AD55" i="1" s="1"/>
  <c r="AD63" i="1" a="1"/>
  <c r="AD63" i="1" s="1"/>
  <c r="AD71" i="1" a="1"/>
  <c r="AD71" i="1" s="1"/>
  <c r="AD79" i="1" a="1"/>
  <c r="AD79" i="1" s="1"/>
  <c r="AD87" i="1" a="1"/>
  <c r="AD87" i="1" s="1"/>
  <c r="AD95" i="1" a="1"/>
  <c r="AD95" i="1" s="1"/>
  <c r="AD107" i="1" a="1"/>
  <c r="AD107" i="1" s="1"/>
  <c r="V28" i="1"/>
  <c r="V44" i="1"/>
  <c r="V60" i="1"/>
  <c r="V76" i="1"/>
  <c r="V32" i="1"/>
  <c r="V48" i="1"/>
  <c r="V64" i="1"/>
  <c r="V107" i="1"/>
  <c r="V103" i="1"/>
  <c r="V99" i="1"/>
  <c r="V95" i="1"/>
  <c r="V91" i="1"/>
  <c r="V87" i="1"/>
  <c r="V83" i="1"/>
  <c r="V79" i="1"/>
  <c r="V75" i="1"/>
  <c r="V71" i="1"/>
  <c r="V67" i="1"/>
  <c r="V63" i="1"/>
  <c r="V59" i="1"/>
  <c r="V55" i="1"/>
  <c r="V51" i="1"/>
  <c r="V47" i="1"/>
  <c r="V43" i="1"/>
  <c r="V39" i="1"/>
  <c r="V35" i="1"/>
  <c r="V31" i="1"/>
  <c r="V27" i="1"/>
  <c r="V108" i="1"/>
  <c r="V104" i="1"/>
  <c r="V106" i="1"/>
  <c r="V102" i="1"/>
  <c r="V98" i="1"/>
  <c r="V94" i="1"/>
  <c r="V90" i="1"/>
  <c r="V86" i="1"/>
  <c r="V82" i="1"/>
  <c r="V78" i="1"/>
  <c r="V74" i="1"/>
  <c r="V70" i="1"/>
  <c r="V66" i="1"/>
  <c r="V62" i="1"/>
  <c r="V58" i="1"/>
  <c r="V54" i="1"/>
  <c r="V50" i="1"/>
  <c r="V46" i="1"/>
  <c r="V42" i="1"/>
  <c r="V38" i="1"/>
  <c r="V34" i="1"/>
  <c r="V30" i="1"/>
  <c r="V26" i="1"/>
  <c r="V100" i="1"/>
  <c r="V92" i="1"/>
  <c r="V105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V25" i="1"/>
  <c r="V96" i="1"/>
  <c r="V36" i="1"/>
  <c r="V52" i="1"/>
  <c r="V68" i="1"/>
  <c r="V84" i="1"/>
  <c r="AA107" i="1"/>
  <c r="AA103" i="1"/>
  <c r="AA99" i="1"/>
  <c r="AA95" i="1"/>
  <c r="AA91" i="1"/>
  <c r="AA87" i="1"/>
  <c r="AA83" i="1"/>
  <c r="AA79" i="1"/>
  <c r="AA75" i="1"/>
  <c r="AA71" i="1"/>
  <c r="AA67" i="1"/>
  <c r="AA63" i="1"/>
  <c r="AA59" i="1"/>
  <c r="AA55" i="1"/>
  <c r="AA51" i="1"/>
  <c r="AA47" i="1"/>
  <c r="AA43" i="1"/>
  <c r="AA39" i="1"/>
  <c r="AA35" i="1"/>
  <c r="Z107" i="1"/>
  <c r="Z103" i="1"/>
  <c r="Z99" i="1"/>
  <c r="Z95" i="1"/>
  <c r="Z91" i="1"/>
  <c r="Z87" i="1"/>
  <c r="Z83" i="1"/>
  <c r="Z79" i="1"/>
  <c r="Z75" i="1"/>
  <c r="Z71" i="1"/>
  <c r="Z67" i="1"/>
  <c r="AA105" i="1"/>
  <c r="AA101" i="1"/>
  <c r="AA97" i="1"/>
  <c r="AA93" i="1"/>
  <c r="AA89" i="1"/>
  <c r="AA85" i="1"/>
  <c r="AA81" i="1"/>
  <c r="AA77" i="1"/>
  <c r="AA73" i="1"/>
  <c r="AA69" i="1"/>
  <c r="AA65" i="1"/>
  <c r="AA61" i="1"/>
  <c r="AA57" i="1"/>
  <c r="AA53" i="1"/>
  <c r="AA49" i="1"/>
  <c r="AA45" i="1"/>
  <c r="AA41" i="1"/>
  <c r="AA37" i="1"/>
  <c r="Z105" i="1"/>
  <c r="Z101" i="1"/>
  <c r="Z97" i="1"/>
  <c r="Z93" i="1"/>
  <c r="Z89" i="1"/>
  <c r="Z85" i="1"/>
  <c r="Z81" i="1"/>
  <c r="Z77" i="1"/>
  <c r="Z73" i="1"/>
  <c r="Z69" i="1"/>
  <c r="Z28" i="1"/>
  <c r="Z32" i="1"/>
  <c r="Z36" i="1"/>
  <c r="Z40" i="1"/>
  <c r="Z44" i="1"/>
  <c r="Z48" i="1"/>
  <c r="Z52" i="1"/>
  <c r="Z56" i="1"/>
  <c r="Z60" i="1"/>
  <c r="Z64" i="1"/>
  <c r="Z70" i="1"/>
  <c r="Z78" i="1"/>
  <c r="Z86" i="1"/>
  <c r="Z94" i="1"/>
  <c r="Z102" i="1"/>
  <c r="AA38" i="1"/>
  <c r="AA46" i="1"/>
  <c r="AA54" i="1"/>
  <c r="AA62" i="1"/>
  <c r="AA70" i="1"/>
  <c r="AA78" i="1"/>
  <c r="AA86" i="1"/>
  <c r="AA94" i="1"/>
  <c r="AA102" i="1"/>
  <c r="Z25" i="1"/>
  <c r="Z29" i="1"/>
  <c r="Z33" i="1"/>
  <c r="Z37" i="1"/>
  <c r="Z41" i="1"/>
  <c r="Z45" i="1"/>
  <c r="Z49" i="1"/>
  <c r="Z53" i="1"/>
  <c r="Z57" i="1"/>
  <c r="Z61" i="1"/>
  <c r="Z65" i="1"/>
  <c r="Z72" i="1"/>
  <c r="Z80" i="1"/>
  <c r="Z88" i="1"/>
  <c r="Z96" i="1"/>
  <c r="Z104" i="1"/>
  <c r="AA40" i="1"/>
  <c r="AA48" i="1"/>
  <c r="AA56" i="1"/>
  <c r="AA64" i="1"/>
  <c r="AA72" i="1"/>
  <c r="AA80" i="1"/>
  <c r="AA88" i="1"/>
  <c r="AA96" i="1"/>
  <c r="AA104" i="1"/>
  <c r="Z26" i="1"/>
  <c r="Z30" i="1"/>
  <c r="Z34" i="1"/>
  <c r="Z38" i="1"/>
  <c r="Z42" i="1"/>
  <c r="Z46" i="1"/>
  <c r="Z50" i="1"/>
  <c r="Z54" i="1"/>
  <c r="Z58" i="1"/>
  <c r="Z62" i="1"/>
  <c r="Z66" i="1"/>
  <c r="Z74" i="1"/>
  <c r="Z82" i="1"/>
  <c r="Z90" i="1"/>
  <c r="Z98" i="1"/>
  <c r="Z106" i="1"/>
  <c r="AA42" i="1"/>
  <c r="AA50" i="1"/>
  <c r="AA58" i="1"/>
  <c r="AA66" i="1"/>
  <c r="AA74" i="1"/>
  <c r="AA82" i="1"/>
  <c r="AA90" i="1"/>
  <c r="AA98" i="1"/>
  <c r="AA106" i="1"/>
  <c r="AL29" i="1"/>
  <c r="AL31" i="1"/>
  <c r="AL33" i="1"/>
  <c r="AL35" i="1"/>
  <c r="AL37" i="1"/>
  <c r="AL39" i="1"/>
  <c r="AL41" i="1"/>
  <c r="AL43" i="1"/>
  <c r="AL45" i="1"/>
  <c r="AL47" i="1"/>
  <c r="AL49" i="1"/>
  <c r="AL51" i="1"/>
  <c r="AL53" i="1"/>
  <c r="AL55" i="1"/>
  <c r="AL57" i="1"/>
  <c r="AL59" i="1"/>
  <c r="AL61" i="1"/>
  <c r="AL63" i="1"/>
  <c r="AL65" i="1"/>
  <c r="AL67" i="1"/>
  <c r="AL69" i="1"/>
  <c r="AL71" i="1"/>
  <c r="AL73" i="1"/>
  <c r="AL75" i="1"/>
  <c r="AL77" i="1"/>
  <c r="AL79" i="1"/>
  <c r="AL81" i="1"/>
  <c r="AL83" i="1"/>
  <c r="AL85" i="1"/>
  <c r="AL87" i="1"/>
  <c r="AL89" i="1"/>
  <c r="AL91" i="1"/>
  <c r="AL93" i="1"/>
  <c r="AL95" i="1"/>
  <c r="AL97" i="1"/>
  <c r="AL99" i="1"/>
  <c r="AL101" i="1"/>
  <c r="AL103" i="1"/>
  <c r="AL105" i="1"/>
  <c r="AL107" i="1"/>
  <c r="AM39" i="1"/>
  <c r="AM41" i="1"/>
  <c r="AM43" i="1"/>
  <c r="AM45" i="1"/>
  <c r="AM47" i="1"/>
  <c r="AM49" i="1"/>
  <c r="AM51" i="1"/>
  <c r="AM53" i="1"/>
  <c r="AM55" i="1"/>
  <c r="AM57" i="1"/>
  <c r="AM59" i="1"/>
  <c r="AM61" i="1"/>
  <c r="AM63" i="1"/>
  <c r="AM65" i="1"/>
  <c r="AM67" i="1"/>
  <c r="AM69" i="1"/>
  <c r="AM71" i="1"/>
  <c r="AM73" i="1"/>
  <c r="AM75" i="1"/>
  <c r="AM77" i="1"/>
  <c r="AM79" i="1"/>
  <c r="AM81" i="1"/>
  <c r="AM83" i="1"/>
  <c r="AM85" i="1"/>
  <c r="AM87" i="1"/>
  <c r="AM89" i="1"/>
  <c r="AM91" i="1"/>
  <c r="AM93" i="1"/>
  <c r="AM95" i="1"/>
  <c r="AM97" i="1"/>
  <c r="AM99" i="1"/>
  <c r="AM101" i="1"/>
  <c r="AM103" i="1"/>
  <c r="AM105" i="1"/>
  <c r="AM107" i="1"/>
  <c r="AL28" i="1"/>
  <c r="AL30" i="1"/>
  <c r="AL32" i="1"/>
  <c r="AL34" i="1"/>
  <c r="AL36" i="1"/>
  <c r="AL38" i="1"/>
  <c r="AL40" i="1"/>
  <c r="AL42" i="1"/>
  <c r="AL44" i="1"/>
  <c r="AL46" i="1"/>
  <c r="AL48" i="1"/>
  <c r="AL50" i="1"/>
  <c r="AL52" i="1"/>
  <c r="AL54" i="1"/>
  <c r="AL56" i="1"/>
  <c r="AL58" i="1"/>
  <c r="AL60" i="1"/>
  <c r="AL62" i="1"/>
  <c r="AL64" i="1"/>
  <c r="AL66" i="1"/>
  <c r="AL68" i="1"/>
  <c r="AL70" i="1"/>
  <c r="AL72" i="1"/>
  <c r="AL74" i="1"/>
  <c r="AL76" i="1"/>
  <c r="AL78" i="1"/>
  <c r="AL80" i="1"/>
  <c r="AL82" i="1"/>
  <c r="AL84" i="1"/>
  <c r="AL86" i="1"/>
  <c r="AL88" i="1"/>
  <c r="AL90" i="1"/>
  <c r="AL92" i="1"/>
  <c r="AL94" i="1"/>
  <c r="AL96" i="1"/>
  <c r="AL98" i="1"/>
  <c r="AL100" i="1"/>
  <c r="AL102" i="1"/>
  <c r="AL104" i="1"/>
  <c r="AL106" i="1"/>
  <c r="AL108" i="1"/>
  <c r="AM38" i="1"/>
  <c r="AM40" i="1"/>
  <c r="AM42" i="1"/>
  <c r="AM44" i="1"/>
  <c r="AM46" i="1"/>
  <c r="AM48" i="1"/>
  <c r="AM50" i="1"/>
  <c r="AM52" i="1"/>
  <c r="AM54" i="1"/>
  <c r="AM56" i="1"/>
  <c r="AM58" i="1"/>
  <c r="AM60" i="1"/>
  <c r="AM62" i="1"/>
  <c r="AM64" i="1"/>
  <c r="AM66" i="1"/>
  <c r="AM68" i="1"/>
  <c r="AM70" i="1"/>
  <c r="AM72" i="1"/>
  <c r="AM74" i="1"/>
  <c r="AM76" i="1"/>
  <c r="AM78" i="1"/>
  <c r="AM80" i="1"/>
  <c r="AM82" i="1"/>
  <c r="AM84" i="1"/>
  <c r="AM86" i="1"/>
  <c r="AM88" i="1"/>
  <c r="AM90" i="1"/>
  <c r="AM92" i="1"/>
  <c r="AM94" i="1"/>
  <c r="AM96" i="1"/>
  <c r="AM98" i="1"/>
  <c r="AM100" i="1"/>
  <c r="AM102" i="1"/>
  <c r="AM104" i="1"/>
  <c r="AM106" i="1"/>
  <c r="AH108" i="1"/>
  <c r="AI108" i="1"/>
  <c r="AD28" i="1" a="1"/>
  <c r="AD28" i="1" s="1"/>
  <c r="AD32" i="1" a="1"/>
  <c r="AD32" i="1" s="1"/>
  <c r="AD36" i="1" a="1"/>
  <c r="AD36" i="1" s="1"/>
  <c r="AD40" i="1" a="1"/>
  <c r="AD40" i="1" s="1"/>
  <c r="AD44" i="1" a="1"/>
  <c r="AD44" i="1" s="1"/>
  <c r="AD48" i="1" a="1"/>
  <c r="AD48" i="1" s="1"/>
  <c r="AD52" i="1" a="1"/>
  <c r="AD52" i="1" s="1"/>
  <c r="AD56" i="1" a="1"/>
  <c r="AD56" i="1" s="1"/>
  <c r="AD60" i="1" a="1"/>
  <c r="AD60" i="1" s="1"/>
  <c r="AD64" i="1" a="1"/>
  <c r="AD64" i="1" s="1"/>
  <c r="AD68" i="1" a="1"/>
  <c r="AD68" i="1" s="1"/>
  <c r="AD72" i="1" a="1"/>
  <c r="AD72" i="1" s="1"/>
  <c r="AD76" i="1" a="1"/>
  <c r="AD76" i="1" s="1"/>
  <c r="AD80" i="1" a="1"/>
  <c r="AD80" i="1" s="1"/>
  <c r="AD84" i="1" a="1"/>
  <c r="AD84" i="1" s="1"/>
  <c r="AD88" i="1" a="1"/>
  <c r="AD88" i="1" s="1"/>
  <c r="AD92" i="1" a="1"/>
  <c r="AD92" i="1" s="1"/>
  <c r="AD96" i="1" a="1"/>
  <c r="AD96" i="1" s="1"/>
  <c r="AD100" i="1" a="1"/>
  <c r="AD100" i="1" s="1"/>
  <c r="AD104" i="1" a="1"/>
  <c r="AD104" i="1" s="1"/>
  <c r="AD108" i="1" a="1"/>
  <c r="AD108" i="1" s="1"/>
  <c r="AD105" i="1" a="1"/>
  <c r="AD105" i="1" s="1"/>
  <c r="AD101" i="1" a="1"/>
  <c r="AD101" i="1" s="1"/>
  <c r="AD26" i="1" a="1"/>
  <c r="AD26" i="1" s="1"/>
  <c r="AD30" i="1" a="1"/>
  <c r="AD30" i="1" s="1"/>
  <c r="AD34" i="1" a="1"/>
  <c r="AD34" i="1" s="1"/>
  <c r="AD38" i="1" a="1"/>
  <c r="AD38" i="1" s="1"/>
  <c r="AD42" i="1" a="1"/>
  <c r="AD42" i="1" s="1"/>
  <c r="AD46" i="1" a="1"/>
  <c r="AD46" i="1" s="1"/>
  <c r="AD50" i="1" a="1"/>
  <c r="AD50" i="1" s="1"/>
  <c r="AD54" i="1" a="1"/>
  <c r="AD54" i="1" s="1"/>
  <c r="AD58" i="1" a="1"/>
  <c r="AD58" i="1" s="1"/>
  <c r="AD62" i="1" a="1"/>
  <c r="AD62" i="1" s="1"/>
  <c r="AD66" i="1" a="1"/>
  <c r="AD66" i="1" s="1"/>
  <c r="AD70" i="1" a="1"/>
  <c r="AD70" i="1" s="1"/>
  <c r="AD74" i="1" a="1"/>
  <c r="AD74" i="1" s="1"/>
  <c r="AD78" i="1" a="1"/>
  <c r="AD78" i="1" s="1"/>
  <c r="AD82" i="1" a="1"/>
  <c r="AD82" i="1" s="1"/>
  <c r="AD86" i="1" a="1"/>
  <c r="AD86" i="1" s="1"/>
  <c r="AD90" i="1" a="1"/>
  <c r="AD90" i="1" s="1"/>
  <c r="AD94" i="1" a="1"/>
  <c r="AD94" i="1" s="1"/>
  <c r="AD98" i="1" a="1"/>
  <c r="AD98" i="1" s="1"/>
  <c r="AD102" i="1" a="1"/>
  <c r="AD102" i="1" s="1"/>
  <c r="G19" i="1"/>
  <c r="G18" i="1"/>
  <c r="Q11" i="3" l="1"/>
  <c r="U10" i="3"/>
  <c r="S9" i="3"/>
  <c r="N8" i="3"/>
  <c r="L9" i="1"/>
  <c r="Q12" i="3" l="1"/>
  <c r="U11" i="3"/>
  <c r="S10" i="3"/>
  <c r="N9" i="3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K9" i="1"/>
  <c r="T9" i="6" s="1"/>
  <c r="K8" i="1"/>
  <c r="T8" i="6" s="1"/>
  <c r="Q13" i="3" l="1"/>
  <c r="U12" i="3"/>
  <c r="S11" i="3"/>
  <c r="N10" i="3"/>
  <c r="AC5" i="1"/>
  <c r="K38" i="1" s="1"/>
  <c r="D38" i="1" s="1"/>
  <c r="AK5" i="1"/>
  <c r="K40" i="1" s="1"/>
  <c r="D40" i="1" s="1"/>
  <c r="U5" i="1"/>
  <c r="K36" i="1" s="1"/>
  <c r="D36" i="1" s="1"/>
  <c r="AG5" i="1"/>
  <c r="K39" i="1" s="1"/>
  <c r="D39" i="1" s="1"/>
  <c r="Y5" i="1"/>
  <c r="K37" i="1" s="1"/>
  <c r="D37" i="1" s="1"/>
  <c r="AO5" i="1"/>
  <c r="K41" i="1" s="1"/>
  <c r="D41" i="1" s="1"/>
  <c r="K28" i="1"/>
  <c r="T28" i="6" s="1"/>
  <c r="K29" i="1"/>
  <c r="T29" i="6" s="1"/>
  <c r="Q14" i="3" l="1"/>
  <c r="U13" i="3"/>
  <c r="S12" i="3"/>
  <c r="N11" i="3"/>
  <c r="R10" i="4"/>
  <c r="R14" i="4"/>
  <c r="R18" i="4"/>
  <c r="R22" i="4"/>
  <c r="R11" i="4"/>
  <c r="R15" i="4"/>
  <c r="R19" i="4"/>
  <c r="R12" i="4"/>
  <c r="R16" i="4"/>
  <c r="R20" i="4"/>
  <c r="R9" i="4"/>
  <c r="R13" i="4"/>
  <c r="R17" i="4"/>
  <c r="R21" i="4"/>
  <c r="R8" i="4"/>
  <c r="AP27" i="1"/>
  <c r="AH22" i="1"/>
  <c r="AH21" i="1"/>
  <c r="Z23" i="1"/>
  <c r="Z19" i="1"/>
  <c r="V19" i="1"/>
  <c r="V22" i="1"/>
  <c r="V20" i="1"/>
  <c r="Z24" i="1"/>
  <c r="Z18" i="1"/>
  <c r="AL23" i="1"/>
  <c r="AL24" i="1"/>
  <c r="AD20" i="1" a="1"/>
  <c r="AD20" i="1" s="1"/>
  <c r="AP22" i="1"/>
  <c r="AP21" i="1"/>
  <c r="AH24" i="1"/>
  <c r="AH26" i="1"/>
  <c r="AH23" i="1"/>
  <c r="AD25" i="1" a="1"/>
  <c r="AD25" i="1" s="1"/>
  <c r="AD21" i="1" a="1"/>
  <c r="AD21" i="1" s="1"/>
  <c r="V18" i="1"/>
  <c r="V21" i="1"/>
  <c r="Z17" i="1"/>
  <c r="Z22" i="1"/>
  <c r="AL25" i="1"/>
  <c r="AL26" i="1"/>
  <c r="AD24" i="1" a="1"/>
  <c r="AD24" i="1" s="1"/>
  <c r="AD18" i="1" a="1"/>
  <c r="AD18" i="1" s="1"/>
  <c r="AP28" i="1"/>
  <c r="AP25" i="1"/>
  <c r="AH19" i="1"/>
  <c r="V23" i="1"/>
  <c r="AL21" i="1"/>
  <c r="AP26" i="1"/>
  <c r="AP24" i="1"/>
  <c r="AP23" i="1"/>
  <c r="AH20" i="1"/>
  <c r="AH25" i="1"/>
  <c r="V16" i="1"/>
  <c r="V17" i="1"/>
  <c r="Z21" i="1"/>
  <c r="AL27" i="1"/>
  <c r="AL20" i="1"/>
  <c r="AD22" i="1" a="1"/>
  <c r="AD22" i="1" s="1"/>
  <c r="AD19" i="1" a="1"/>
  <c r="AD19" i="1" s="1"/>
  <c r="AD23" i="1" a="1"/>
  <c r="AD23" i="1" s="1"/>
  <c r="Z20" i="1"/>
  <c r="AL22" i="1"/>
  <c r="R16" i="1"/>
  <c r="R20" i="1"/>
  <c r="R19" i="1"/>
  <c r="R17" i="1"/>
  <c r="R21" i="1"/>
  <c r="R18" i="1"/>
  <c r="R22" i="1"/>
  <c r="R15" i="1"/>
  <c r="AP14" i="1"/>
  <c r="AP20" i="1"/>
  <c r="AP18" i="1"/>
  <c r="AP15" i="1"/>
  <c r="AP17" i="1"/>
  <c r="AP16" i="1"/>
  <c r="AP19" i="1"/>
  <c r="AP10" i="1"/>
  <c r="AP9" i="1"/>
  <c r="AP13" i="1"/>
  <c r="AP12" i="1"/>
  <c r="AP8" i="1"/>
  <c r="AP11" i="1"/>
  <c r="AH18" i="1"/>
  <c r="AH14" i="1"/>
  <c r="AH10" i="1"/>
  <c r="AD13" i="1" a="1"/>
  <c r="AD13" i="1" s="1"/>
  <c r="V8" i="1"/>
  <c r="AH8" i="1"/>
  <c r="Z11" i="1"/>
  <c r="AH11" i="1"/>
  <c r="AH17" i="1"/>
  <c r="AH13" i="1"/>
  <c r="AH9" i="1"/>
  <c r="AD11" i="1" a="1"/>
  <c r="AD11" i="1" s="1"/>
  <c r="Z15" i="1"/>
  <c r="AH12" i="1"/>
  <c r="AD9" i="1" a="1"/>
  <c r="AD9" i="1" s="1"/>
  <c r="AH15" i="1"/>
  <c r="AH16" i="1"/>
  <c r="AD17" i="1" a="1"/>
  <c r="AD17" i="1" s="1"/>
  <c r="AD15" i="1" a="1"/>
  <c r="AD15" i="1" s="1"/>
  <c r="V15" i="1"/>
  <c r="Z9" i="1"/>
  <c r="Z14" i="1"/>
  <c r="AL14" i="1"/>
  <c r="AL15" i="1"/>
  <c r="AL18" i="1"/>
  <c r="AD16" i="1" a="1"/>
  <c r="AD16" i="1" s="1"/>
  <c r="V14" i="1"/>
  <c r="Z12" i="1"/>
  <c r="AL19" i="1"/>
  <c r="AL12" i="1"/>
  <c r="V10" i="1"/>
  <c r="Z16" i="1"/>
  <c r="Z10" i="1"/>
  <c r="AL10" i="1"/>
  <c r="AL11" i="1"/>
  <c r="AL16" i="1"/>
  <c r="AD14" i="1" a="1"/>
  <c r="AD14" i="1" s="1"/>
  <c r="V11" i="1"/>
  <c r="V13" i="1"/>
  <c r="Z8" i="1"/>
  <c r="Z13" i="1"/>
  <c r="AL17" i="1"/>
  <c r="AL8" i="1"/>
  <c r="V12" i="1"/>
  <c r="V9" i="1"/>
  <c r="AL9" i="1"/>
  <c r="AD8" i="1" a="1"/>
  <c r="AD8" i="1" s="1"/>
  <c r="AD10" i="1" a="1"/>
  <c r="AD10" i="1" s="1"/>
  <c r="AL13" i="1"/>
  <c r="AD12" i="1" a="1"/>
  <c r="AD12" i="1" s="1"/>
  <c r="R11" i="1"/>
  <c r="R12" i="1"/>
  <c r="R13" i="1"/>
  <c r="R14" i="1"/>
  <c r="R10" i="1"/>
  <c r="R8" i="1"/>
  <c r="R9" i="1"/>
  <c r="Q15" i="3" l="1"/>
  <c r="U14" i="3"/>
  <c r="S13" i="3"/>
  <c r="N12" i="3"/>
  <c r="Q8" i="1"/>
  <c r="AK8" i="3"/>
  <c r="AK9" i="3" s="1"/>
  <c r="AK10" i="3" s="1"/>
  <c r="AK11" i="3" s="1"/>
  <c r="AK12" i="3" s="1"/>
  <c r="AK13" i="3" s="1"/>
  <c r="AK14" i="3" s="1"/>
  <c r="AA8" i="3"/>
  <c r="AA9" i="3" s="1"/>
  <c r="AA10" i="3" s="1"/>
  <c r="AA11" i="3" s="1"/>
  <c r="AA12" i="3" s="1"/>
  <c r="AF8" i="3"/>
  <c r="AF9" i="3" s="1"/>
  <c r="AF10" i="3" s="1"/>
  <c r="AF11" i="3" s="1"/>
  <c r="AF12" i="3" s="1"/>
  <c r="AF13" i="3" s="1"/>
  <c r="AP8" i="3"/>
  <c r="AP9" i="3" s="1"/>
  <c r="AP10" i="3" s="1"/>
  <c r="AP11" i="3" s="1"/>
  <c r="AP12" i="3" s="1"/>
  <c r="AP13" i="3" s="1"/>
  <c r="AP14" i="3" s="1"/>
  <c r="AP15" i="3" s="1"/>
  <c r="AU8" i="3"/>
  <c r="AU9" i="3" s="1"/>
  <c r="AU10" i="3" s="1"/>
  <c r="AU11" i="3" s="1"/>
  <c r="AU12" i="3" s="1"/>
  <c r="AU13" i="3" s="1"/>
  <c r="AU14" i="3" s="1"/>
  <c r="AU15" i="3" s="1"/>
  <c r="AU16" i="3" s="1"/>
  <c r="V8" i="3"/>
  <c r="V9" i="3" s="1"/>
  <c r="V10" i="3" s="1"/>
  <c r="V11" i="3" s="1"/>
  <c r="Y8" i="1"/>
  <c r="A37" i="1" s="1"/>
  <c r="I37" i="1" s="1"/>
  <c r="AC8" i="1"/>
  <c r="A38" i="1" s="1"/>
  <c r="AK8" i="1"/>
  <c r="A40" i="1" s="1"/>
  <c r="AG8" i="1"/>
  <c r="A39" i="1" s="1"/>
  <c r="U8" i="1"/>
  <c r="A36" i="1" s="1"/>
  <c r="I36" i="1" s="1"/>
  <c r="AO8" i="1"/>
  <c r="A41" i="1" s="1"/>
  <c r="I41" i="1" s="1"/>
  <c r="H41" i="1" s="1"/>
  <c r="G41" i="1" s="1"/>
  <c r="J41" i="1" s="1"/>
  <c r="E41" i="1" s="1"/>
  <c r="C41" i="1" s="1"/>
  <c r="AP16" i="3" l="1"/>
  <c r="AT15" i="3"/>
  <c r="AU17" i="3"/>
  <c r="AY16" i="3"/>
  <c r="AF14" i="3"/>
  <c r="AJ13" i="3"/>
  <c r="AK15" i="3"/>
  <c r="AO14" i="3"/>
  <c r="V12" i="3"/>
  <c r="Z11" i="3"/>
  <c r="AA13" i="3"/>
  <c r="AE12" i="3"/>
  <c r="S15" i="3"/>
  <c r="Q16" i="3"/>
  <c r="U15" i="3"/>
  <c r="S14" i="3"/>
  <c r="N13" i="3"/>
  <c r="A39" i="3"/>
  <c r="AC8" i="3"/>
  <c r="A37" i="3"/>
  <c r="AM8" i="3"/>
  <c r="A41" i="3"/>
  <c r="AW8" i="3"/>
  <c r="A38" i="3"/>
  <c r="AH8" i="3"/>
  <c r="A36" i="3"/>
  <c r="X8" i="3"/>
  <c r="A40" i="3"/>
  <c r="AR8" i="3"/>
  <c r="AK9" i="1"/>
  <c r="AK10" i="1" s="1"/>
  <c r="I40" i="1"/>
  <c r="AA8" i="1"/>
  <c r="AE8" i="1"/>
  <c r="I38" i="1"/>
  <c r="Y9" i="1"/>
  <c r="Y10" i="1" s="1"/>
  <c r="Y11" i="1" s="1"/>
  <c r="Y12" i="1" s="1"/>
  <c r="Y13" i="1" s="1"/>
  <c r="Y14" i="1" s="1"/>
  <c r="AI8" i="1"/>
  <c r="I39" i="1"/>
  <c r="U9" i="1"/>
  <c r="W9" i="1" s="1"/>
  <c r="AG9" i="1"/>
  <c r="AI9" i="1" s="1"/>
  <c r="AO9" i="1"/>
  <c r="AQ8" i="1"/>
  <c r="AC9" i="1"/>
  <c r="AE9" i="1" s="1" a="1"/>
  <c r="AE9" i="1" s="1"/>
  <c r="AM8" i="1"/>
  <c r="W8" i="1"/>
  <c r="Q9" i="1"/>
  <c r="S9" i="1" s="1"/>
  <c r="S8" i="1"/>
  <c r="AA14" i="3" l="1"/>
  <c r="AE13" i="3"/>
  <c r="AK16" i="3"/>
  <c r="AO15" i="3"/>
  <c r="AU18" i="3"/>
  <c r="AY17" i="3"/>
  <c r="S16" i="3"/>
  <c r="Q17" i="3"/>
  <c r="U16" i="3"/>
  <c r="V13" i="3"/>
  <c r="Z12" i="3"/>
  <c r="AF15" i="3"/>
  <c r="AJ14" i="3"/>
  <c r="AP17" i="3"/>
  <c r="AT16" i="3"/>
  <c r="N14" i="3"/>
  <c r="A35" i="3"/>
  <c r="AM9" i="1"/>
  <c r="U10" i="1"/>
  <c r="W10" i="1" s="1"/>
  <c r="S8" i="3"/>
  <c r="AA13" i="1"/>
  <c r="AC10" i="1"/>
  <c r="AC11" i="1" s="1"/>
  <c r="AC12" i="1" s="1"/>
  <c r="AC13" i="1" s="1"/>
  <c r="AC14" i="1" s="1"/>
  <c r="AE14" i="1" s="1" a="1"/>
  <c r="AE14" i="1" s="1"/>
  <c r="AG10" i="1"/>
  <c r="AG11" i="1" s="1"/>
  <c r="AO10" i="1"/>
  <c r="AQ9" i="1"/>
  <c r="AM10" i="1"/>
  <c r="AK11" i="1"/>
  <c r="Y15" i="1"/>
  <c r="AA14" i="1"/>
  <c r="N9" i="1"/>
  <c r="Q10" i="1"/>
  <c r="Q11" i="1" s="1"/>
  <c r="AF16" i="3" l="1"/>
  <c r="AJ15" i="3"/>
  <c r="AK17" i="3"/>
  <c r="AO16" i="3"/>
  <c r="AP18" i="3"/>
  <c r="AT17" i="3"/>
  <c r="V14" i="3"/>
  <c r="Z13" i="3"/>
  <c r="S17" i="3"/>
  <c r="Q18" i="3"/>
  <c r="U17" i="3"/>
  <c r="AU19" i="3"/>
  <c r="AY18" i="3"/>
  <c r="AA15" i="3"/>
  <c r="AE14" i="3"/>
  <c r="N15" i="3"/>
  <c r="AC9" i="3"/>
  <c r="K15" i="3"/>
  <c r="AH9" i="3"/>
  <c r="AM9" i="3"/>
  <c r="AW9" i="3"/>
  <c r="AR9" i="3"/>
  <c r="X9" i="3"/>
  <c r="U11" i="1"/>
  <c r="W11" i="1" s="1"/>
  <c r="N8" i="1"/>
  <c r="O8" i="3"/>
  <c r="AC15" i="1"/>
  <c r="AC16" i="1" s="1"/>
  <c r="S11" i="1"/>
  <c r="S10" i="1"/>
  <c r="H39" i="1"/>
  <c r="G39" i="1" s="1"/>
  <c r="J39" i="1" s="1"/>
  <c r="E39" i="1" s="1"/>
  <c r="H36" i="1"/>
  <c r="G36" i="1" s="1"/>
  <c r="J36" i="1" s="1"/>
  <c r="E36" i="1" s="1"/>
  <c r="H40" i="1"/>
  <c r="G40" i="1" s="1"/>
  <c r="J40" i="1" s="1"/>
  <c r="E40" i="1" s="1"/>
  <c r="H38" i="1"/>
  <c r="G38" i="1" s="1"/>
  <c r="J38" i="1" s="1"/>
  <c r="E38" i="1" s="1"/>
  <c r="H37" i="1"/>
  <c r="G37" i="1" s="1"/>
  <c r="J37" i="1" s="1"/>
  <c r="E37" i="1" s="1"/>
  <c r="AI10" i="1"/>
  <c r="AO11" i="1"/>
  <c r="AQ10" i="1"/>
  <c r="AM11" i="1"/>
  <c r="AK12" i="1"/>
  <c r="AI11" i="1"/>
  <c r="AG12" i="1"/>
  <c r="Y16" i="1"/>
  <c r="AA15" i="1"/>
  <c r="N10" i="1"/>
  <c r="L15" i="3" l="1"/>
  <c r="K18" i="3"/>
  <c r="AU20" i="3"/>
  <c r="AY19" i="3"/>
  <c r="V15" i="3"/>
  <c r="Z14" i="3"/>
  <c r="AK18" i="3"/>
  <c r="AO17" i="3"/>
  <c r="AA16" i="3"/>
  <c r="AE15" i="3"/>
  <c r="S18" i="3"/>
  <c r="U18" i="3"/>
  <c r="Q19" i="3"/>
  <c r="AP19" i="3"/>
  <c r="AT18" i="3"/>
  <c r="AF17" i="3"/>
  <c r="AJ16" i="3"/>
  <c r="N16" i="3"/>
  <c r="U15" i="6"/>
  <c r="AM10" i="3"/>
  <c r="AC10" i="3"/>
  <c r="O9" i="3"/>
  <c r="AW10" i="3"/>
  <c r="AR10" i="3"/>
  <c r="X10" i="3"/>
  <c r="AH10" i="3"/>
  <c r="AE15" i="1" a="1"/>
  <c r="AE15" i="1" s="1"/>
  <c r="U12" i="1"/>
  <c r="W12" i="1" s="1"/>
  <c r="Q12" i="1"/>
  <c r="S12" i="1" s="1"/>
  <c r="K15" i="1"/>
  <c r="O8" i="1"/>
  <c r="O9" i="1" s="1"/>
  <c r="O10" i="1" s="1"/>
  <c r="N11" i="1"/>
  <c r="AQ11" i="1"/>
  <c r="AO12" i="1"/>
  <c r="AI12" i="1"/>
  <c r="AG13" i="1"/>
  <c r="AM12" i="1"/>
  <c r="AK13" i="1"/>
  <c r="AE16" i="1" a="1"/>
  <c r="AE16" i="1" s="1"/>
  <c r="AC17" i="1"/>
  <c r="Y17" i="1"/>
  <c r="AA16" i="1"/>
  <c r="U18" i="6" l="1"/>
  <c r="K18" i="1"/>
  <c r="T18" i="6" s="1"/>
  <c r="S19" i="3"/>
  <c r="U19" i="3"/>
  <c r="Q20" i="3"/>
  <c r="AE16" i="3"/>
  <c r="AA17" i="3"/>
  <c r="Z15" i="3"/>
  <c r="V16" i="3"/>
  <c r="AF18" i="3"/>
  <c r="AJ17" i="3"/>
  <c r="AP20" i="3"/>
  <c r="AT19" i="3"/>
  <c r="AK19" i="3"/>
  <c r="AO18" i="3"/>
  <c r="AY20" i="3"/>
  <c r="AU21" i="3"/>
  <c r="N17" i="3"/>
  <c r="T15" i="6"/>
  <c r="B30" i="6"/>
  <c r="B29" i="4"/>
  <c r="L15" i="1"/>
  <c r="U13" i="1"/>
  <c r="W13" i="1" s="1"/>
  <c r="N12" i="1"/>
  <c r="AM11" i="3"/>
  <c r="O10" i="3"/>
  <c r="AR11" i="3"/>
  <c r="AW11" i="3"/>
  <c r="X11" i="3"/>
  <c r="AC11" i="3"/>
  <c r="AH11" i="3"/>
  <c r="Q13" i="1"/>
  <c r="S13" i="1" s="1"/>
  <c r="O11" i="1"/>
  <c r="B29" i="3"/>
  <c r="B29" i="1"/>
  <c r="A35" i="1"/>
  <c r="I35" i="1" s="1"/>
  <c r="H35" i="1" s="1"/>
  <c r="G35" i="1" s="1"/>
  <c r="J35" i="1" s="1"/>
  <c r="E35" i="1" s="1"/>
  <c r="Y18" i="1"/>
  <c r="AA17" i="1"/>
  <c r="AQ12" i="1"/>
  <c r="AO13" i="1"/>
  <c r="AG14" i="1"/>
  <c r="AI13" i="1"/>
  <c r="AE17" i="1" a="1"/>
  <c r="AE17" i="1" s="1"/>
  <c r="AC18" i="1"/>
  <c r="AK14" i="1"/>
  <c r="AM13" i="1"/>
  <c r="AO19" i="3" l="1"/>
  <c r="AK20" i="3"/>
  <c r="AJ18" i="3"/>
  <c r="AF19" i="3"/>
  <c r="AY21" i="3"/>
  <c r="AU22" i="3"/>
  <c r="S20" i="3"/>
  <c r="Q21" i="3"/>
  <c r="U20" i="3"/>
  <c r="AP21" i="3"/>
  <c r="AT20" i="3"/>
  <c r="Z16" i="3"/>
  <c r="V17" i="3"/>
  <c r="AA18" i="3"/>
  <c r="AE17" i="3"/>
  <c r="N18" i="3"/>
  <c r="U14" i="1"/>
  <c r="W14" i="1" s="1"/>
  <c r="AW12" i="3"/>
  <c r="AC12" i="3"/>
  <c r="O11" i="3"/>
  <c r="O12" i="1"/>
  <c r="AR12" i="3"/>
  <c r="AH12" i="3"/>
  <c r="X12" i="3"/>
  <c r="N13" i="1"/>
  <c r="AM12" i="3"/>
  <c r="Y19" i="1"/>
  <c r="AA18" i="1"/>
  <c r="X13" i="3"/>
  <c r="Q14" i="1"/>
  <c r="Q15" i="1" s="1"/>
  <c r="S15" i="1" s="1"/>
  <c r="K12" i="1"/>
  <c r="T12" i="6" s="1"/>
  <c r="AC19" i="1"/>
  <c r="AE18" i="1" a="1"/>
  <c r="AE18" i="1" s="1"/>
  <c r="AO14" i="1"/>
  <c r="AQ13" i="1"/>
  <c r="AK15" i="1"/>
  <c r="AM14" i="1"/>
  <c r="AG15" i="1"/>
  <c r="AI14" i="1"/>
  <c r="AJ19" i="3" l="1"/>
  <c r="AF20" i="3"/>
  <c r="S21" i="3"/>
  <c r="Q22" i="3"/>
  <c r="U21" i="3"/>
  <c r="AE18" i="3"/>
  <c r="AA19" i="3"/>
  <c r="AT21" i="3"/>
  <c r="AP22" i="3"/>
  <c r="AY22" i="3"/>
  <c r="AU23" i="3"/>
  <c r="AK21" i="3"/>
  <c r="AO20" i="3"/>
  <c r="V18" i="3"/>
  <c r="Z17" i="3"/>
  <c r="N19" i="3"/>
  <c r="AH13" i="3"/>
  <c r="AW13" i="3"/>
  <c r="AR13" i="3"/>
  <c r="U15" i="1"/>
  <c r="W15" i="1" s="1"/>
  <c r="AM13" i="3"/>
  <c r="AC13" i="3"/>
  <c r="K19" i="3"/>
  <c r="O12" i="3"/>
  <c r="O13" i="3" s="1"/>
  <c r="O13" i="1"/>
  <c r="AM14" i="3"/>
  <c r="N14" i="1"/>
  <c r="S14" i="1"/>
  <c r="AH14" i="3"/>
  <c r="X14" i="3"/>
  <c r="AC20" i="1"/>
  <c r="AE19" i="1" a="1"/>
  <c r="AE19" i="1" s="1"/>
  <c r="AC14" i="3"/>
  <c r="AR14" i="3"/>
  <c r="AW14" i="3"/>
  <c r="Y20" i="1"/>
  <c r="AA19" i="1"/>
  <c r="K14" i="1"/>
  <c r="K24" i="1"/>
  <c r="T24" i="6" s="1"/>
  <c r="AO15" i="1"/>
  <c r="AQ14" i="1"/>
  <c r="C36" i="1"/>
  <c r="AM15" i="1"/>
  <c r="AK16" i="1"/>
  <c r="AG16" i="1"/>
  <c r="AI15" i="1"/>
  <c r="Q16" i="1"/>
  <c r="S16" i="1" s="1"/>
  <c r="N15" i="1"/>
  <c r="AO21" i="3" l="1"/>
  <c r="AK22" i="3"/>
  <c r="S22" i="3"/>
  <c r="U22" i="3"/>
  <c r="Q23" i="3"/>
  <c r="AY23" i="3"/>
  <c r="AU24" i="3"/>
  <c r="AE19" i="3"/>
  <c r="AA20" i="3"/>
  <c r="V19" i="3"/>
  <c r="Z18" i="3"/>
  <c r="AF21" i="3"/>
  <c r="AJ20" i="3"/>
  <c r="AP23" i="3"/>
  <c r="AT22" i="3"/>
  <c r="N20" i="3"/>
  <c r="U16" i="1"/>
  <c r="U17" i="1" s="1"/>
  <c r="AC15" i="3"/>
  <c r="O14" i="3"/>
  <c r="K13" i="1"/>
  <c r="T14" i="6"/>
  <c r="O14" i="1"/>
  <c r="O15" i="1" s="1"/>
  <c r="K19" i="1"/>
  <c r="T19" i="6" s="1"/>
  <c r="X15" i="3"/>
  <c r="AM15" i="3"/>
  <c r="AC21" i="1"/>
  <c r="AE20" i="1" a="1"/>
  <c r="AE20" i="1" s="1"/>
  <c r="AH15" i="3"/>
  <c r="Y21" i="1"/>
  <c r="AA20" i="1"/>
  <c r="AR15" i="3"/>
  <c r="AW15" i="3"/>
  <c r="AO16" i="1"/>
  <c r="AQ15" i="1"/>
  <c r="AK17" i="1"/>
  <c r="AM16" i="1"/>
  <c r="AG17" i="1"/>
  <c r="AI16" i="1"/>
  <c r="Q17" i="1"/>
  <c r="S17" i="1" s="1"/>
  <c r="N16" i="1"/>
  <c r="AJ21" i="3" l="1"/>
  <c r="AF22" i="3"/>
  <c r="AY24" i="3"/>
  <c r="AU25" i="3"/>
  <c r="AT23" i="3"/>
  <c r="AP24" i="3"/>
  <c r="Z19" i="3"/>
  <c r="V20" i="3"/>
  <c r="AO22" i="3"/>
  <c r="AK23" i="3"/>
  <c r="AE20" i="3"/>
  <c r="AA21" i="3"/>
  <c r="Q24" i="3"/>
  <c r="U23" i="3"/>
  <c r="W16" i="1"/>
  <c r="N21" i="3"/>
  <c r="O15" i="3"/>
  <c r="AR16" i="3"/>
  <c r="K11" i="1"/>
  <c r="T13" i="6"/>
  <c r="AH16" i="3"/>
  <c r="AM16" i="3"/>
  <c r="AW16" i="3"/>
  <c r="Y22" i="1"/>
  <c r="AA21" i="1"/>
  <c r="AC22" i="1"/>
  <c r="AE21" i="1" a="1"/>
  <c r="AE21" i="1" s="1"/>
  <c r="U18" i="1"/>
  <c r="W17" i="1"/>
  <c r="AC16" i="3"/>
  <c r="X16" i="3"/>
  <c r="O16" i="1"/>
  <c r="AO17" i="1"/>
  <c r="AQ16" i="1"/>
  <c r="AG18" i="1"/>
  <c r="AI17" i="1"/>
  <c r="AK18" i="1"/>
  <c r="AM17" i="1"/>
  <c r="Q18" i="1"/>
  <c r="S18" i="1" s="1"/>
  <c r="N17" i="1"/>
  <c r="AA22" i="3" l="1"/>
  <c r="AE21" i="3"/>
  <c r="V21" i="3"/>
  <c r="Z20" i="3"/>
  <c r="AY25" i="3"/>
  <c r="AU26" i="3"/>
  <c r="AK24" i="3"/>
  <c r="AO23" i="3"/>
  <c r="AT24" i="3"/>
  <c r="AP25" i="3"/>
  <c r="AJ22" i="3"/>
  <c r="AF23" i="3"/>
  <c r="U24" i="3"/>
  <c r="Q25" i="3"/>
  <c r="N22" i="3"/>
  <c r="O16" i="3"/>
  <c r="O17" i="3" s="1"/>
  <c r="X17" i="3"/>
  <c r="K23" i="1"/>
  <c r="T23" i="6" s="1"/>
  <c r="T11" i="6"/>
  <c r="AR17" i="3"/>
  <c r="AH17" i="3"/>
  <c r="AM17" i="3"/>
  <c r="AH18" i="3"/>
  <c r="AC17" i="3"/>
  <c r="AW17" i="3"/>
  <c r="U19" i="1"/>
  <c r="W18" i="1"/>
  <c r="AC23" i="1"/>
  <c r="AE22" i="1" a="1"/>
  <c r="AE22" i="1" s="1"/>
  <c r="Y23" i="1"/>
  <c r="AA22" i="1"/>
  <c r="O17" i="1"/>
  <c r="AO18" i="1"/>
  <c r="AQ17" i="1"/>
  <c r="AK19" i="1"/>
  <c r="AM18" i="1"/>
  <c r="AG19" i="1"/>
  <c r="AI18" i="1"/>
  <c r="Q19" i="1"/>
  <c r="S19" i="1" s="1"/>
  <c r="N18" i="1"/>
  <c r="AF24" i="3" l="1"/>
  <c r="AJ23" i="3"/>
  <c r="AK25" i="3"/>
  <c r="AO24" i="3"/>
  <c r="Z21" i="3"/>
  <c r="V22" i="3"/>
  <c r="U25" i="3"/>
  <c r="Q26" i="3"/>
  <c r="AP26" i="3"/>
  <c r="AT25" i="3"/>
  <c r="AY26" i="3"/>
  <c r="AU27" i="3"/>
  <c r="AE22" i="3"/>
  <c r="AA23" i="3"/>
  <c r="N23" i="3"/>
  <c r="X18" i="3"/>
  <c r="AM18" i="3"/>
  <c r="AC18" i="3"/>
  <c r="O18" i="3"/>
  <c r="AR18" i="3"/>
  <c r="AW18" i="3"/>
  <c r="Y24" i="1"/>
  <c r="AA23" i="1"/>
  <c r="AC19" i="3"/>
  <c r="AM19" i="3"/>
  <c r="X19" i="3"/>
  <c r="AH19" i="3"/>
  <c r="U20" i="1"/>
  <c r="W19" i="1"/>
  <c r="AC24" i="1"/>
  <c r="AE23" i="1" a="1"/>
  <c r="AE23" i="1" s="1"/>
  <c r="O18" i="1"/>
  <c r="AO19" i="1"/>
  <c r="AQ18" i="1"/>
  <c r="AG20" i="1"/>
  <c r="AI19" i="1"/>
  <c r="C39" i="1" s="1"/>
  <c r="AK20" i="1"/>
  <c r="AM19" i="1"/>
  <c r="Q20" i="1"/>
  <c r="S20" i="1" s="1"/>
  <c r="N19" i="1"/>
  <c r="AU28" i="3" l="1"/>
  <c r="AY27" i="3"/>
  <c r="Q27" i="3"/>
  <c r="U26" i="3"/>
  <c r="AO25" i="3"/>
  <c r="AK26" i="3"/>
  <c r="AA24" i="3"/>
  <c r="AE23" i="3"/>
  <c r="Z22" i="3"/>
  <c r="V23" i="3"/>
  <c r="AP27" i="3"/>
  <c r="AT26" i="3"/>
  <c r="AJ24" i="3"/>
  <c r="AF25" i="3"/>
  <c r="N24" i="3"/>
  <c r="AW19" i="3"/>
  <c r="O19" i="3"/>
  <c r="AR19" i="3"/>
  <c r="AG21" i="1"/>
  <c r="AI20" i="1"/>
  <c r="AC25" i="1"/>
  <c r="AE24" i="1" a="1"/>
  <c r="AE24" i="1" s="1"/>
  <c r="U21" i="1"/>
  <c r="W20" i="1"/>
  <c r="Y25" i="1"/>
  <c r="AA24" i="1"/>
  <c r="AM20" i="3"/>
  <c r="AH20" i="3"/>
  <c r="AC20" i="3"/>
  <c r="AR20" i="3"/>
  <c r="X20" i="3"/>
  <c r="AW20" i="3"/>
  <c r="O19" i="1"/>
  <c r="AO20" i="1"/>
  <c r="AQ19" i="1"/>
  <c r="AK21" i="1"/>
  <c r="AM20" i="1"/>
  <c r="C40" i="1" s="1"/>
  <c r="Q21" i="1"/>
  <c r="S21" i="1" s="1"/>
  <c r="N20" i="1"/>
  <c r="AT27" i="3" l="1"/>
  <c r="AP28" i="3"/>
  <c r="AE24" i="3"/>
  <c r="AA25" i="3"/>
  <c r="Q28" i="3"/>
  <c r="U27" i="3"/>
  <c r="AJ25" i="3"/>
  <c r="AF26" i="3"/>
  <c r="Z23" i="3"/>
  <c r="V24" i="3"/>
  <c r="AK27" i="3"/>
  <c r="AO26" i="3"/>
  <c r="AU29" i="3"/>
  <c r="AY28" i="3"/>
  <c r="N25" i="3"/>
  <c r="O20" i="3"/>
  <c r="O21" i="3" s="1"/>
  <c r="Y26" i="1"/>
  <c r="AA25" i="1"/>
  <c r="AC26" i="1"/>
  <c r="AE25" i="1" a="1"/>
  <c r="AE25" i="1" s="1"/>
  <c r="AK22" i="1"/>
  <c r="AM21" i="1"/>
  <c r="AR21" i="3"/>
  <c r="AW21" i="3"/>
  <c r="AM21" i="3"/>
  <c r="X21" i="3"/>
  <c r="AH21" i="3"/>
  <c r="AC21" i="3"/>
  <c r="U22" i="1"/>
  <c r="W21" i="1"/>
  <c r="AG22" i="1"/>
  <c r="AI21" i="1"/>
  <c r="O20" i="1"/>
  <c r="AO21" i="1"/>
  <c r="AQ20" i="1"/>
  <c r="Q22" i="1"/>
  <c r="S22" i="1" s="1"/>
  <c r="N21" i="1"/>
  <c r="AF27" i="3" l="1"/>
  <c r="AJ26" i="3"/>
  <c r="AE25" i="3"/>
  <c r="AA26" i="3"/>
  <c r="AO27" i="3"/>
  <c r="AK28" i="3"/>
  <c r="V25" i="3"/>
  <c r="Z24" i="3"/>
  <c r="AP29" i="3"/>
  <c r="AT28" i="3"/>
  <c r="AY29" i="3"/>
  <c r="AU30" i="3"/>
  <c r="Q29" i="3"/>
  <c r="U28" i="3"/>
  <c r="N26" i="3"/>
  <c r="AR22" i="3"/>
  <c r="AH22" i="3"/>
  <c r="AC22" i="3"/>
  <c r="AM22" i="3"/>
  <c r="AW22" i="3"/>
  <c r="X22" i="3"/>
  <c r="U23" i="1"/>
  <c r="W22" i="1"/>
  <c r="AE26" i="1" a="1"/>
  <c r="AE26" i="1" s="1"/>
  <c r="AC27" i="1"/>
  <c r="AO22" i="1"/>
  <c r="AQ21" i="1"/>
  <c r="AG23" i="1"/>
  <c r="AI22" i="1"/>
  <c r="AK23" i="1"/>
  <c r="AM22" i="1"/>
  <c r="Y27" i="1"/>
  <c r="AA26" i="1"/>
  <c r="O21" i="1"/>
  <c r="O22" i="3"/>
  <c r="Q23" i="1"/>
  <c r="S23" i="1" s="1"/>
  <c r="N22" i="1"/>
  <c r="AE26" i="3" l="1"/>
  <c r="AA27" i="3"/>
  <c r="V26" i="3"/>
  <c r="Z25" i="3"/>
  <c r="AO28" i="3"/>
  <c r="AK29" i="3"/>
  <c r="AU31" i="3"/>
  <c r="AY30" i="3"/>
  <c r="U29" i="3"/>
  <c r="Q30" i="3"/>
  <c r="AP30" i="3"/>
  <c r="AT29" i="3"/>
  <c r="AF28" i="3"/>
  <c r="AJ27" i="3"/>
  <c r="N27" i="3"/>
  <c r="O22" i="1"/>
  <c r="AC28" i="1"/>
  <c r="AE27" i="1" a="1"/>
  <c r="AE27" i="1" s="1"/>
  <c r="Y28" i="1"/>
  <c r="AA27" i="1"/>
  <c r="AG24" i="1"/>
  <c r="AI23" i="1"/>
  <c r="AH23" i="3"/>
  <c r="AM23" i="3"/>
  <c r="AC23" i="3"/>
  <c r="AW23" i="3"/>
  <c r="X23" i="3"/>
  <c r="AR23" i="3"/>
  <c r="AK24" i="1"/>
  <c r="AM23" i="1"/>
  <c r="AO23" i="1"/>
  <c r="AQ22" i="1"/>
  <c r="W23" i="1"/>
  <c r="U24" i="1"/>
  <c r="O23" i="3"/>
  <c r="Q24" i="1"/>
  <c r="S24" i="1" s="1"/>
  <c r="N23" i="1"/>
  <c r="AP31" i="3" l="1"/>
  <c r="AT30" i="3"/>
  <c r="AU32" i="3"/>
  <c r="AY31" i="3"/>
  <c r="V27" i="3"/>
  <c r="Z26" i="3"/>
  <c r="Q31" i="3"/>
  <c r="U30" i="3"/>
  <c r="AO29" i="3"/>
  <c r="AK30" i="3"/>
  <c r="AE27" i="3"/>
  <c r="AA28" i="3"/>
  <c r="AJ28" i="3"/>
  <c r="AF29" i="3"/>
  <c r="N28" i="3"/>
  <c r="O23" i="1"/>
  <c r="W24" i="1"/>
  <c r="U25" i="1"/>
  <c r="AK25" i="1"/>
  <c r="AM24" i="1"/>
  <c r="Y29" i="1"/>
  <c r="AA28" i="1"/>
  <c r="X24" i="3"/>
  <c r="AW24" i="3"/>
  <c r="AR24" i="3"/>
  <c r="AH24" i="3"/>
  <c r="AC24" i="3"/>
  <c r="AM24" i="3"/>
  <c r="AO24" i="1"/>
  <c r="AQ23" i="1"/>
  <c r="AG25" i="1"/>
  <c r="AI24" i="1"/>
  <c r="AE28" i="1" a="1"/>
  <c r="AE28" i="1" s="1"/>
  <c r="AC29" i="1"/>
  <c r="O24" i="3"/>
  <c r="Q25" i="1"/>
  <c r="S25" i="1" s="1"/>
  <c r="N24" i="1"/>
  <c r="Q32" i="3" l="1"/>
  <c r="U31" i="3"/>
  <c r="AY32" i="3"/>
  <c r="AU33" i="3"/>
  <c r="AA29" i="3"/>
  <c r="AE28" i="3"/>
  <c r="AJ29" i="3"/>
  <c r="AF30" i="3"/>
  <c r="AO30" i="3"/>
  <c r="AK31" i="3"/>
  <c r="V28" i="3"/>
  <c r="Z27" i="3"/>
  <c r="AP32" i="3"/>
  <c r="AT31" i="3"/>
  <c r="N29" i="3"/>
  <c r="O24" i="1"/>
  <c r="AM25" i="3"/>
  <c r="AW25" i="3"/>
  <c r="AC25" i="3"/>
  <c r="X25" i="3"/>
  <c r="AH25" i="3"/>
  <c r="AR25" i="3"/>
  <c r="AO25" i="1"/>
  <c r="AQ24" i="1"/>
  <c r="AK26" i="1"/>
  <c r="AM25" i="1"/>
  <c r="AC30" i="1"/>
  <c r="AE29" i="1" a="1"/>
  <c r="AE29" i="1" s="1"/>
  <c r="W25" i="1"/>
  <c r="U26" i="1"/>
  <c r="AG26" i="1"/>
  <c r="AI25" i="1"/>
  <c r="Y30" i="1"/>
  <c r="AA29" i="1"/>
  <c r="O25" i="3"/>
  <c r="Q26" i="1"/>
  <c r="S26" i="1" s="1"/>
  <c r="N25" i="1"/>
  <c r="AU34" i="3" l="1"/>
  <c r="AY33" i="3"/>
  <c r="V29" i="3"/>
  <c r="Z28" i="3"/>
  <c r="AO31" i="3"/>
  <c r="AK32" i="3"/>
  <c r="AF31" i="3"/>
  <c r="AJ30" i="3"/>
  <c r="AP33" i="3"/>
  <c r="AT32" i="3"/>
  <c r="AE29" i="3"/>
  <c r="AA30" i="3"/>
  <c r="Q33" i="3"/>
  <c r="U32" i="3"/>
  <c r="N30" i="3"/>
  <c r="O25" i="1"/>
  <c r="Y31" i="1"/>
  <c r="AA30" i="1"/>
  <c r="AK27" i="1"/>
  <c r="AM26" i="1"/>
  <c r="X26" i="3"/>
  <c r="AM26" i="3"/>
  <c r="AC26" i="3"/>
  <c r="AW26" i="3"/>
  <c r="AR26" i="3"/>
  <c r="AH26" i="3"/>
  <c r="W26" i="1"/>
  <c r="U27" i="1"/>
  <c r="AG27" i="1"/>
  <c r="AI26" i="1"/>
  <c r="AE30" i="1" a="1"/>
  <c r="AE30" i="1" s="1"/>
  <c r="AC31" i="1"/>
  <c r="AO26" i="1"/>
  <c r="AQ25" i="1"/>
  <c r="K10" i="3"/>
  <c r="O26" i="3"/>
  <c r="Q27" i="1"/>
  <c r="S27" i="1" s="1"/>
  <c r="N26" i="1"/>
  <c r="AE30" i="3" l="1"/>
  <c r="AA31" i="3"/>
  <c r="AF32" i="3"/>
  <c r="AJ31" i="3"/>
  <c r="Z29" i="3"/>
  <c r="V30" i="3"/>
  <c r="AK33" i="3"/>
  <c r="AO32" i="3"/>
  <c r="U33" i="3"/>
  <c r="Q34" i="3"/>
  <c r="AT33" i="3"/>
  <c r="AP34" i="3"/>
  <c r="AY34" i="3"/>
  <c r="AU35" i="3"/>
  <c r="N31" i="3"/>
  <c r="O26" i="1"/>
  <c r="AC27" i="3"/>
  <c r="AW27" i="3"/>
  <c r="X27" i="3"/>
  <c r="AR27" i="3"/>
  <c r="AM27" i="3"/>
  <c r="AH27" i="3"/>
  <c r="AO27" i="1"/>
  <c r="AQ26" i="1"/>
  <c r="AG28" i="1"/>
  <c r="AI27" i="1"/>
  <c r="AK28" i="1"/>
  <c r="AM27" i="1"/>
  <c r="AC32" i="1"/>
  <c r="AE31" i="1" a="1"/>
  <c r="AE31" i="1" s="1"/>
  <c r="W27" i="1"/>
  <c r="U28" i="1"/>
  <c r="Y32" i="1"/>
  <c r="AA31" i="1"/>
  <c r="O27" i="3"/>
  <c r="AE36" i="1" a="1"/>
  <c r="AE36" i="1" s="1"/>
  <c r="Q28" i="1"/>
  <c r="S28" i="1" s="1"/>
  <c r="N27" i="1"/>
  <c r="AP35" i="3" l="1"/>
  <c r="AT34" i="3"/>
  <c r="AO33" i="3"/>
  <c r="AK34" i="3"/>
  <c r="AF33" i="3"/>
  <c r="AJ32" i="3"/>
  <c r="AU36" i="3"/>
  <c r="AY35" i="3"/>
  <c r="Q35" i="3"/>
  <c r="U34" i="3"/>
  <c r="V31" i="3"/>
  <c r="Z30" i="3"/>
  <c r="AE31" i="3"/>
  <c r="AA32" i="3"/>
  <c r="N32" i="3"/>
  <c r="O27" i="1"/>
  <c r="Y33" i="1"/>
  <c r="AA32" i="1"/>
  <c r="AC33" i="1"/>
  <c r="AE32" i="1" a="1"/>
  <c r="AE32" i="1" s="1"/>
  <c r="AG29" i="1"/>
  <c r="AI28" i="1"/>
  <c r="AR28" i="3"/>
  <c r="AH28" i="3"/>
  <c r="X28" i="3"/>
  <c r="AC28" i="3"/>
  <c r="AM28" i="3"/>
  <c r="AW28" i="3"/>
  <c r="W28" i="1"/>
  <c r="U29" i="1"/>
  <c r="AK29" i="1"/>
  <c r="AM28" i="1"/>
  <c r="AO28" i="1"/>
  <c r="AQ27" i="1"/>
  <c r="O28" i="3"/>
  <c r="AE37" i="1" a="1"/>
  <c r="AE37" i="1" s="1"/>
  <c r="Q29" i="1"/>
  <c r="S29" i="1" s="1"/>
  <c r="N28" i="1"/>
  <c r="AK35" i="3" l="1"/>
  <c r="AO34" i="3"/>
  <c r="Z31" i="3"/>
  <c r="V32" i="3"/>
  <c r="AY36" i="3"/>
  <c r="AU37" i="3"/>
  <c r="AA33" i="3"/>
  <c r="AE32" i="3"/>
  <c r="U35" i="3"/>
  <c r="Q36" i="3"/>
  <c r="AF34" i="3"/>
  <c r="AJ33" i="3"/>
  <c r="AP36" i="3"/>
  <c r="AT35" i="3"/>
  <c r="N33" i="3"/>
  <c r="O28" i="1"/>
  <c r="AO29" i="1"/>
  <c r="AQ28" i="1"/>
  <c r="AC34" i="1"/>
  <c r="AE33" i="1" a="1"/>
  <c r="AE33" i="1" s="1"/>
  <c r="AR29" i="3"/>
  <c r="AH29" i="3"/>
  <c r="X29" i="3"/>
  <c r="AM29" i="3"/>
  <c r="AW29" i="3"/>
  <c r="AC29" i="3"/>
  <c r="W29" i="1"/>
  <c r="U30" i="1"/>
  <c r="AK30" i="1"/>
  <c r="AM29" i="1"/>
  <c r="AG30" i="1"/>
  <c r="AI29" i="1"/>
  <c r="Y34" i="1"/>
  <c r="AA33" i="1"/>
  <c r="O29" i="3"/>
  <c r="AE38" i="1" a="1"/>
  <c r="AE38" i="1" s="1"/>
  <c r="Q30" i="1"/>
  <c r="S30" i="1" s="1"/>
  <c r="N29" i="1"/>
  <c r="V33" i="3" l="1"/>
  <c r="Z32" i="3"/>
  <c r="AJ34" i="3"/>
  <c r="AF35" i="3"/>
  <c r="AE33" i="3"/>
  <c r="AA34" i="3"/>
  <c r="Q37" i="3"/>
  <c r="U36" i="3"/>
  <c r="AU38" i="3"/>
  <c r="AY37" i="3"/>
  <c r="AP37" i="3"/>
  <c r="AT36" i="3"/>
  <c r="AK36" i="3"/>
  <c r="AO35" i="3"/>
  <c r="O29" i="1"/>
  <c r="N34" i="3"/>
  <c r="Y35" i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AA34" i="1"/>
  <c r="AK31" i="1"/>
  <c r="AM30" i="1"/>
  <c r="AC35" i="1"/>
  <c r="AE34" i="1" a="1"/>
  <c r="AE34" i="1" s="1"/>
  <c r="AR30" i="3"/>
  <c r="AH30" i="3"/>
  <c r="AW30" i="3"/>
  <c r="AM30" i="3"/>
  <c r="X30" i="3"/>
  <c r="AC30" i="3"/>
  <c r="W30" i="1"/>
  <c r="U31" i="1"/>
  <c r="AG31" i="1"/>
  <c r="AI30" i="1"/>
  <c r="AO30" i="1"/>
  <c r="AQ29" i="1"/>
  <c r="O30" i="3"/>
  <c r="AE39" i="1" a="1"/>
  <c r="AE39" i="1" s="1"/>
  <c r="Q31" i="1"/>
  <c r="S31" i="1" s="1"/>
  <c r="N30" i="1"/>
  <c r="AT37" i="3" l="1"/>
  <c r="AP38" i="3"/>
  <c r="Q38" i="3"/>
  <c r="U37" i="3"/>
  <c r="AE34" i="3"/>
  <c r="AA35" i="3"/>
  <c r="AF36" i="3"/>
  <c r="AJ35" i="3"/>
  <c r="AK37" i="3"/>
  <c r="AO36" i="3"/>
  <c r="AY38" i="3"/>
  <c r="AU39" i="3"/>
  <c r="V34" i="3"/>
  <c r="Z33" i="3"/>
  <c r="O30" i="1"/>
  <c r="N35" i="3"/>
  <c r="AG32" i="1"/>
  <c r="AI31" i="1"/>
  <c r="AC36" i="1"/>
  <c r="AC37" i="1" s="1"/>
  <c r="AC38" i="1" s="1"/>
  <c r="AC39" i="1" s="1"/>
  <c r="AC40" i="1" s="1"/>
  <c r="AC41" i="1" s="1"/>
  <c r="AE35" i="1" a="1"/>
  <c r="AE35" i="1" s="1"/>
  <c r="W31" i="1"/>
  <c r="U32" i="1"/>
  <c r="AO31" i="1"/>
  <c r="AQ30" i="1"/>
  <c r="AK32" i="1"/>
  <c r="AM31" i="1"/>
  <c r="AH31" i="3"/>
  <c r="AM31" i="3"/>
  <c r="X31" i="3"/>
  <c r="AR31" i="3"/>
  <c r="AC31" i="3"/>
  <c r="AW31" i="3"/>
  <c r="O31" i="3"/>
  <c r="AE40" i="1" a="1"/>
  <c r="AE40" i="1" s="1"/>
  <c r="Q32" i="1"/>
  <c r="S32" i="1" s="1"/>
  <c r="K10" i="1" s="1"/>
  <c r="N31" i="1"/>
  <c r="O31" i="1" l="1"/>
  <c r="AY39" i="3"/>
  <c r="AU40" i="3"/>
  <c r="AJ36" i="3"/>
  <c r="AF37" i="3"/>
  <c r="Q39" i="3"/>
  <c r="U38" i="3"/>
  <c r="AE35" i="3"/>
  <c r="AA36" i="3"/>
  <c r="AP39" i="3"/>
  <c r="AT38" i="3"/>
  <c r="V35" i="3"/>
  <c r="Z34" i="3"/>
  <c r="AO37" i="3"/>
  <c r="AK38" i="3"/>
  <c r="N36" i="3"/>
  <c r="AO32" i="1"/>
  <c r="AQ31" i="1"/>
  <c r="Q5" i="1"/>
  <c r="U10" i="6"/>
  <c r="AR32" i="3"/>
  <c r="AC32" i="3"/>
  <c r="AM32" i="3"/>
  <c r="X32" i="3"/>
  <c r="AW32" i="3"/>
  <c r="AH32" i="3"/>
  <c r="W32" i="1"/>
  <c r="U33" i="1"/>
  <c r="AK33" i="1"/>
  <c r="AM32" i="1"/>
  <c r="AG33" i="1"/>
  <c r="AI32" i="1"/>
  <c r="AC42" i="1"/>
  <c r="AE41" i="1" a="1"/>
  <c r="AE41" i="1" s="1"/>
  <c r="Q33" i="1"/>
  <c r="N32" i="1"/>
  <c r="Z35" i="3" l="1"/>
  <c r="V36" i="3"/>
  <c r="AJ37" i="3"/>
  <c r="AF38" i="3"/>
  <c r="AK39" i="3"/>
  <c r="AO38" i="3"/>
  <c r="AU41" i="3"/>
  <c r="AY40" i="3"/>
  <c r="AA37" i="3"/>
  <c r="AE36" i="3"/>
  <c r="AT39" i="3"/>
  <c r="AP40" i="3"/>
  <c r="U39" i="3"/>
  <c r="Q40" i="3"/>
  <c r="N37" i="3"/>
  <c r="L10" i="1"/>
  <c r="T10" i="6"/>
  <c r="L10" i="3"/>
  <c r="K22" i="3"/>
  <c r="U22" i="6" s="1"/>
  <c r="K21" i="3"/>
  <c r="U21" i="6" s="1"/>
  <c r="K35" i="3"/>
  <c r="D35" i="3" s="1"/>
  <c r="O32" i="1"/>
  <c r="K16" i="1"/>
  <c r="O32" i="3"/>
  <c r="K16" i="3"/>
  <c r="AK34" i="1"/>
  <c r="AM33" i="1"/>
  <c r="K35" i="1"/>
  <c r="D35" i="1" s="1"/>
  <c r="C35" i="1" s="1"/>
  <c r="K22" i="1"/>
  <c r="T22" i="6" s="1"/>
  <c r="K21" i="1"/>
  <c r="T21" i="6" s="1"/>
  <c r="W33" i="1"/>
  <c r="U34" i="1"/>
  <c r="U35" i="1" s="1"/>
  <c r="U36" i="1" s="1"/>
  <c r="U37" i="1" s="1"/>
  <c r="U38" i="1" s="1"/>
  <c r="U39" i="1" s="1"/>
  <c r="U40" i="1" s="1"/>
  <c r="U41" i="1" s="1"/>
  <c r="AM33" i="3"/>
  <c r="X33" i="3"/>
  <c r="K36" i="3" s="1"/>
  <c r="D36" i="3" s="1"/>
  <c r="AW33" i="3"/>
  <c r="AH33" i="3"/>
  <c r="AC33" i="3"/>
  <c r="AR33" i="3"/>
  <c r="AG34" i="1"/>
  <c r="AI33" i="1"/>
  <c r="AO33" i="1"/>
  <c r="AQ32" i="1"/>
  <c r="AC43" i="1"/>
  <c r="AE42" i="1" a="1"/>
  <c r="AE42" i="1" s="1"/>
  <c r="Q34" i="1"/>
  <c r="N33" i="1"/>
  <c r="AP41" i="3" l="1"/>
  <c r="AT40" i="3"/>
  <c r="AY41" i="3"/>
  <c r="AU42" i="3"/>
  <c r="U40" i="3"/>
  <c r="Q41" i="3"/>
  <c r="Z36" i="3"/>
  <c r="V37" i="3"/>
  <c r="AJ38" i="3"/>
  <c r="AF39" i="3"/>
  <c r="AE37" i="3"/>
  <c r="AA38" i="3"/>
  <c r="AK40" i="3"/>
  <c r="AO39" i="3"/>
  <c r="N38" i="3"/>
  <c r="O33" i="3"/>
  <c r="O34" i="3" s="1"/>
  <c r="T16" i="6"/>
  <c r="L16" i="3"/>
  <c r="U16" i="6"/>
  <c r="L16" i="1"/>
  <c r="O33" i="1"/>
  <c r="AG35" i="1"/>
  <c r="AI34" i="1"/>
  <c r="AW34" i="3"/>
  <c r="AR34" i="3"/>
  <c r="AH34" i="3"/>
  <c r="AC34" i="3"/>
  <c r="K37" i="3" s="1"/>
  <c r="D37" i="3" s="1"/>
  <c r="AM34" i="3"/>
  <c r="AO34" i="1"/>
  <c r="AQ33" i="1"/>
  <c r="K27" i="1"/>
  <c r="T27" i="6" s="1"/>
  <c r="AK35" i="1"/>
  <c r="AM34" i="1"/>
  <c r="AC44" i="1"/>
  <c r="AE43" i="1" a="1"/>
  <c r="AE43" i="1" s="1"/>
  <c r="U42" i="1"/>
  <c r="Q35" i="1"/>
  <c r="N34" i="1"/>
  <c r="V38" i="3" l="1"/>
  <c r="Z37" i="3"/>
  <c r="AE38" i="3"/>
  <c r="AA39" i="3"/>
  <c r="AY42" i="3"/>
  <c r="AU43" i="3"/>
  <c r="AF40" i="3"/>
  <c r="AJ39" i="3"/>
  <c r="Q42" i="3"/>
  <c r="U41" i="3"/>
  <c r="AO40" i="3"/>
  <c r="AK41" i="3"/>
  <c r="AP42" i="3"/>
  <c r="AT41" i="3"/>
  <c r="N39" i="3"/>
  <c r="O34" i="1"/>
  <c r="AW35" i="3"/>
  <c r="AM35" i="3"/>
  <c r="AR35" i="3"/>
  <c r="AH35" i="3"/>
  <c r="K38" i="3" s="1"/>
  <c r="D38" i="3" s="1"/>
  <c r="AO35" i="1"/>
  <c r="AQ34" i="1"/>
  <c r="AK36" i="1"/>
  <c r="AM35" i="1"/>
  <c r="AG36" i="1"/>
  <c r="AI35" i="1"/>
  <c r="O35" i="3"/>
  <c r="AC45" i="1"/>
  <c r="AE44" i="1" a="1"/>
  <c r="AE44" i="1" s="1"/>
  <c r="U43" i="1"/>
  <c r="Q36" i="1"/>
  <c r="N35" i="1"/>
  <c r="AE39" i="3" l="1"/>
  <c r="AA40" i="3"/>
  <c r="AF41" i="3"/>
  <c r="AJ40" i="3"/>
  <c r="AK42" i="3"/>
  <c r="AO41" i="3"/>
  <c r="AU44" i="3"/>
  <c r="AY43" i="3"/>
  <c r="AT42" i="3"/>
  <c r="AP43" i="3"/>
  <c r="Q43" i="3"/>
  <c r="U42" i="3"/>
  <c r="Z38" i="3"/>
  <c r="V39" i="3"/>
  <c r="O35" i="1"/>
  <c r="N40" i="3"/>
  <c r="AK37" i="1"/>
  <c r="AM36" i="1"/>
  <c r="AR36" i="3"/>
  <c r="AW36" i="3"/>
  <c r="AM36" i="3"/>
  <c r="K39" i="3" s="1"/>
  <c r="D39" i="3" s="1"/>
  <c r="AG37" i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AG53" i="1" s="1"/>
  <c r="AG54" i="1" s="1"/>
  <c r="AG55" i="1" s="1"/>
  <c r="AG56" i="1" s="1"/>
  <c r="AG57" i="1" s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AG72" i="1" s="1"/>
  <c r="AG73" i="1" s="1"/>
  <c r="AG74" i="1" s="1"/>
  <c r="AG75" i="1" s="1"/>
  <c r="AG76" i="1" s="1"/>
  <c r="AG77" i="1" s="1"/>
  <c r="AG78" i="1" s="1"/>
  <c r="AG79" i="1" s="1"/>
  <c r="AG80" i="1" s="1"/>
  <c r="AG81" i="1" s="1"/>
  <c r="AG82" i="1" s="1"/>
  <c r="AG83" i="1" s="1"/>
  <c r="AG84" i="1" s="1"/>
  <c r="AG85" i="1" s="1"/>
  <c r="AG86" i="1" s="1"/>
  <c r="AG87" i="1" s="1"/>
  <c r="AG88" i="1" s="1"/>
  <c r="AG89" i="1" s="1"/>
  <c r="AG90" i="1" s="1"/>
  <c r="AG91" i="1" s="1"/>
  <c r="AG92" i="1" s="1"/>
  <c r="AG93" i="1" s="1"/>
  <c r="AG94" i="1" s="1"/>
  <c r="AG95" i="1" s="1"/>
  <c r="AG96" i="1" s="1"/>
  <c r="AG97" i="1" s="1"/>
  <c r="AG98" i="1" s="1"/>
  <c r="AG99" i="1" s="1"/>
  <c r="AG100" i="1" s="1"/>
  <c r="AG101" i="1" s="1"/>
  <c r="AG102" i="1" s="1"/>
  <c r="AG103" i="1" s="1"/>
  <c r="AG104" i="1" s="1"/>
  <c r="AG105" i="1" s="1"/>
  <c r="AG106" i="1" s="1"/>
  <c r="AG107" i="1" s="1"/>
  <c r="AG108" i="1" s="1"/>
  <c r="AI36" i="1"/>
  <c r="AO36" i="1"/>
  <c r="AQ35" i="1"/>
  <c r="O36" i="3"/>
  <c r="AC46" i="1"/>
  <c r="AE45" i="1" a="1"/>
  <c r="AE45" i="1" s="1"/>
  <c r="U44" i="1"/>
  <c r="Q37" i="1"/>
  <c r="N36" i="1"/>
  <c r="O36" i="1" s="1"/>
  <c r="Q44" i="3" l="1"/>
  <c r="U43" i="3"/>
  <c r="AY44" i="3"/>
  <c r="AU45" i="3"/>
  <c r="AJ41" i="3"/>
  <c r="AF42" i="3"/>
  <c r="V40" i="3"/>
  <c r="Z39" i="3"/>
  <c r="AT43" i="3"/>
  <c r="AP44" i="3"/>
  <c r="AE40" i="3"/>
  <c r="AA41" i="3"/>
  <c r="AK43" i="3"/>
  <c r="AO42" i="3"/>
  <c r="N41" i="3"/>
  <c r="AR37" i="3"/>
  <c r="K40" i="3" s="1"/>
  <c r="D40" i="3" s="1"/>
  <c r="AW37" i="3"/>
  <c r="AO37" i="1"/>
  <c r="AQ36" i="1"/>
  <c r="AK38" i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M37" i="1"/>
  <c r="O37" i="3"/>
  <c r="AC47" i="1"/>
  <c r="AE46" i="1" a="1"/>
  <c r="AE46" i="1" s="1"/>
  <c r="U45" i="1"/>
  <c r="Q38" i="1"/>
  <c r="N37" i="1"/>
  <c r="O37" i="1" s="1"/>
  <c r="AE41" i="3" l="1"/>
  <c r="AA42" i="3"/>
  <c r="AY45" i="3"/>
  <c r="AU46" i="3"/>
  <c r="Z40" i="3"/>
  <c r="V41" i="3"/>
  <c r="AT44" i="3"/>
  <c r="AP45" i="3"/>
  <c r="AJ42" i="3"/>
  <c r="AF43" i="3"/>
  <c r="AO43" i="3"/>
  <c r="AK44" i="3"/>
  <c r="Q45" i="3"/>
  <c r="U44" i="3"/>
  <c r="N42" i="3"/>
  <c r="AO38" i="1"/>
  <c r="AQ37" i="1"/>
  <c r="AW38" i="3"/>
  <c r="K41" i="3" s="1"/>
  <c r="D41" i="3" s="1"/>
  <c r="O38" i="3"/>
  <c r="AC48" i="1"/>
  <c r="AE47" i="1" a="1"/>
  <c r="AE47" i="1" s="1"/>
  <c r="U46" i="1"/>
  <c r="Q39" i="1"/>
  <c r="N38" i="1"/>
  <c r="O38" i="1" s="1"/>
  <c r="AT45" i="3" l="1"/>
  <c r="AP46" i="3"/>
  <c r="AU47" i="3"/>
  <c r="AY46" i="3"/>
  <c r="AJ43" i="3"/>
  <c r="AF44" i="3"/>
  <c r="V42" i="3"/>
  <c r="Z41" i="3"/>
  <c r="AA43" i="3"/>
  <c r="AE42" i="3"/>
  <c r="AO44" i="3"/>
  <c r="AK45" i="3"/>
  <c r="Q46" i="3"/>
  <c r="U45" i="3"/>
  <c r="N43" i="3"/>
  <c r="AO39" i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AO61" i="1" s="1"/>
  <c r="AO62" i="1" s="1"/>
  <c r="AO63" i="1" s="1"/>
  <c r="AO64" i="1" s="1"/>
  <c r="AO65" i="1" s="1"/>
  <c r="AO66" i="1" s="1"/>
  <c r="AO67" i="1" s="1"/>
  <c r="AO68" i="1" s="1"/>
  <c r="AO69" i="1" s="1"/>
  <c r="AO70" i="1" s="1"/>
  <c r="AO71" i="1" s="1"/>
  <c r="AO72" i="1" s="1"/>
  <c r="AO73" i="1" s="1"/>
  <c r="AO74" i="1" s="1"/>
  <c r="AO75" i="1" s="1"/>
  <c r="AO76" i="1" s="1"/>
  <c r="AO77" i="1" s="1"/>
  <c r="AO78" i="1" s="1"/>
  <c r="AO79" i="1" s="1"/>
  <c r="AO80" i="1" s="1"/>
  <c r="AO81" i="1" s="1"/>
  <c r="AO82" i="1" s="1"/>
  <c r="AO83" i="1" s="1"/>
  <c r="AO84" i="1" s="1"/>
  <c r="AO85" i="1" s="1"/>
  <c r="AO86" i="1" s="1"/>
  <c r="AO87" i="1" s="1"/>
  <c r="AO88" i="1" s="1"/>
  <c r="AO89" i="1" s="1"/>
  <c r="AO90" i="1" s="1"/>
  <c r="AO91" i="1" s="1"/>
  <c r="AO92" i="1" s="1"/>
  <c r="AO93" i="1" s="1"/>
  <c r="AO94" i="1" s="1"/>
  <c r="AO95" i="1" s="1"/>
  <c r="AO96" i="1" s="1"/>
  <c r="AO97" i="1" s="1"/>
  <c r="AO98" i="1" s="1"/>
  <c r="AO99" i="1" s="1"/>
  <c r="AO100" i="1" s="1"/>
  <c r="AO101" i="1" s="1"/>
  <c r="AO102" i="1" s="1"/>
  <c r="AO103" i="1" s="1"/>
  <c r="AO104" i="1" s="1"/>
  <c r="AO105" i="1" s="1"/>
  <c r="AO106" i="1" s="1"/>
  <c r="AO107" i="1" s="1"/>
  <c r="AO108" i="1" s="1"/>
  <c r="AQ38" i="1"/>
  <c r="O39" i="3"/>
  <c r="AC49" i="1"/>
  <c r="AE48" i="1" a="1"/>
  <c r="AE48" i="1" s="1"/>
  <c r="U47" i="1"/>
  <c r="Q40" i="1"/>
  <c r="N39" i="1"/>
  <c r="O39" i="1" s="1"/>
  <c r="AK46" i="3" l="1"/>
  <c r="AO45" i="3"/>
  <c r="Z42" i="3"/>
  <c r="V43" i="3"/>
  <c r="AY47" i="3"/>
  <c r="AU48" i="3"/>
  <c r="AF45" i="3"/>
  <c r="AJ44" i="3"/>
  <c r="AP47" i="3"/>
  <c r="AT46" i="3"/>
  <c r="Q47" i="3"/>
  <c r="U46" i="3"/>
  <c r="AE43" i="3"/>
  <c r="AA44" i="3"/>
  <c r="N44" i="3"/>
  <c r="O40" i="3"/>
  <c r="AC50" i="1"/>
  <c r="AE49" i="1" a="1"/>
  <c r="AE49" i="1" s="1"/>
  <c r="U48" i="1"/>
  <c r="Q41" i="1"/>
  <c r="N40" i="1"/>
  <c r="O40" i="1" s="1"/>
  <c r="V44" i="3" l="1"/>
  <c r="Z43" i="3"/>
  <c r="Q48" i="3"/>
  <c r="U47" i="3"/>
  <c r="AF46" i="3"/>
  <c r="AJ45" i="3"/>
  <c r="AE44" i="3"/>
  <c r="AA45" i="3"/>
  <c r="AU49" i="3"/>
  <c r="AY48" i="3"/>
  <c r="AP48" i="3"/>
  <c r="AT47" i="3"/>
  <c r="AK47" i="3"/>
  <c r="AO46" i="3"/>
  <c r="N45" i="3"/>
  <c r="O41" i="3"/>
  <c r="AC51" i="1"/>
  <c r="AE50" i="1" a="1"/>
  <c r="AE50" i="1" s="1"/>
  <c r="U49" i="1"/>
  <c r="Q42" i="1"/>
  <c r="N41" i="1"/>
  <c r="O41" i="1" s="1"/>
  <c r="AP49" i="3" l="1"/>
  <c r="AT48" i="3"/>
  <c r="Q49" i="3"/>
  <c r="U48" i="3"/>
  <c r="AA46" i="3"/>
  <c r="AE45" i="3"/>
  <c r="AK48" i="3"/>
  <c r="AO47" i="3"/>
  <c r="AY49" i="3"/>
  <c r="AU50" i="3"/>
  <c r="AF47" i="3"/>
  <c r="AJ46" i="3"/>
  <c r="V45" i="3"/>
  <c r="Z44" i="3"/>
  <c r="N46" i="3"/>
  <c r="O42" i="3"/>
  <c r="AC52" i="1"/>
  <c r="AE51" i="1" a="1"/>
  <c r="AE51" i="1" s="1"/>
  <c r="U50" i="1"/>
  <c r="Q43" i="1"/>
  <c r="N42" i="1"/>
  <c r="O42" i="1" s="1"/>
  <c r="AF48" i="3" l="1"/>
  <c r="AJ47" i="3"/>
  <c r="AK49" i="3"/>
  <c r="AO48" i="3"/>
  <c r="Q50" i="3"/>
  <c r="U49" i="3"/>
  <c r="AU51" i="3"/>
  <c r="AY50" i="3"/>
  <c r="V46" i="3"/>
  <c r="Z45" i="3"/>
  <c r="AE46" i="3"/>
  <c r="AA47" i="3"/>
  <c r="AT49" i="3"/>
  <c r="AP50" i="3"/>
  <c r="N47" i="3"/>
  <c r="O43" i="3"/>
  <c r="AC53" i="1"/>
  <c r="AE52" i="1" a="1"/>
  <c r="AE52" i="1" s="1"/>
  <c r="U51" i="1"/>
  <c r="Q44" i="1"/>
  <c r="N43" i="1"/>
  <c r="O43" i="1" s="1"/>
  <c r="AU52" i="3" l="1"/>
  <c r="AY51" i="3"/>
  <c r="AO49" i="3"/>
  <c r="AK50" i="3"/>
  <c r="AP51" i="3"/>
  <c r="AT50" i="3"/>
  <c r="AA48" i="3"/>
  <c r="AE47" i="3"/>
  <c r="Z46" i="3"/>
  <c r="V47" i="3"/>
  <c r="Q51" i="3"/>
  <c r="U50" i="3"/>
  <c r="AJ48" i="3"/>
  <c r="AF49" i="3"/>
  <c r="N48" i="3"/>
  <c r="O44" i="3"/>
  <c r="AC54" i="1"/>
  <c r="AE53" i="1" a="1"/>
  <c r="AE53" i="1" s="1"/>
  <c r="U52" i="1"/>
  <c r="Q45" i="1"/>
  <c r="N44" i="1"/>
  <c r="O44" i="1" s="1"/>
  <c r="AK51" i="3" l="1"/>
  <c r="AO50" i="3"/>
  <c r="Q52" i="3"/>
  <c r="U51" i="3"/>
  <c r="AE48" i="3"/>
  <c r="AA49" i="3"/>
  <c r="AF50" i="3"/>
  <c r="AJ49" i="3"/>
  <c r="V48" i="3"/>
  <c r="Z47" i="3"/>
  <c r="AT51" i="3"/>
  <c r="AP52" i="3"/>
  <c r="AY52" i="3"/>
  <c r="AU53" i="3"/>
  <c r="N49" i="3"/>
  <c r="O45" i="3"/>
  <c r="AC55" i="1"/>
  <c r="AE54" i="1" a="1"/>
  <c r="AE54" i="1" s="1"/>
  <c r="U53" i="1"/>
  <c r="Q46" i="1"/>
  <c r="N45" i="1"/>
  <c r="O45" i="1" s="1"/>
  <c r="AP53" i="3" l="1"/>
  <c r="AT52" i="3"/>
  <c r="AJ50" i="3"/>
  <c r="AF51" i="3"/>
  <c r="Q53" i="3"/>
  <c r="U52" i="3"/>
  <c r="AU54" i="3"/>
  <c r="AY53" i="3"/>
  <c r="AA50" i="3"/>
  <c r="AE49" i="3"/>
  <c r="V49" i="3"/>
  <c r="Z48" i="3"/>
  <c r="AO51" i="3"/>
  <c r="AK52" i="3"/>
  <c r="N50" i="3"/>
  <c r="O46" i="3"/>
  <c r="AC56" i="1"/>
  <c r="AE55" i="1" a="1"/>
  <c r="AE55" i="1" s="1"/>
  <c r="U54" i="1"/>
  <c r="Q47" i="1"/>
  <c r="N46" i="1"/>
  <c r="O46" i="1" s="1"/>
  <c r="AF52" i="3" l="1"/>
  <c r="AJ51" i="3"/>
  <c r="Z49" i="3"/>
  <c r="V50" i="3"/>
  <c r="AU55" i="3"/>
  <c r="AY54" i="3"/>
  <c r="AO52" i="3"/>
  <c r="AK53" i="3"/>
  <c r="AE50" i="3"/>
  <c r="AA51" i="3"/>
  <c r="Q54" i="3"/>
  <c r="U53" i="3"/>
  <c r="AT53" i="3"/>
  <c r="AP54" i="3"/>
  <c r="N51" i="3"/>
  <c r="O47" i="3"/>
  <c r="AC57" i="1"/>
  <c r="AE56" i="1" a="1"/>
  <c r="AE56" i="1" s="1"/>
  <c r="U55" i="1"/>
  <c r="Q48" i="1"/>
  <c r="N47" i="1"/>
  <c r="O47" i="1" s="1"/>
  <c r="V51" i="3" l="1"/>
  <c r="Z50" i="3"/>
  <c r="U54" i="3"/>
  <c r="Q55" i="3"/>
  <c r="AO53" i="3"/>
  <c r="AK54" i="3"/>
  <c r="AP55" i="3"/>
  <c r="AT54" i="3"/>
  <c r="AA52" i="3"/>
  <c r="AE51" i="3"/>
  <c r="AY55" i="3"/>
  <c r="AU56" i="3"/>
  <c r="AJ52" i="3"/>
  <c r="AF53" i="3"/>
  <c r="N52" i="3"/>
  <c r="O48" i="3"/>
  <c r="AC58" i="1"/>
  <c r="AE57" i="1" a="1"/>
  <c r="AE57" i="1" s="1"/>
  <c r="U56" i="1"/>
  <c r="Q49" i="1"/>
  <c r="N48" i="1"/>
  <c r="O48" i="1" s="1"/>
  <c r="U55" i="3" l="1"/>
  <c r="Q56" i="3"/>
  <c r="AT55" i="3"/>
  <c r="AP56" i="3"/>
  <c r="AF54" i="3"/>
  <c r="AJ53" i="3"/>
  <c r="AO54" i="3"/>
  <c r="AK55" i="3"/>
  <c r="AY56" i="3"/>
  <c r="AU57" i="3"/>
  <c r="AA53" i="3"/>
  <c r="AE52" i="3"/>
  <c r="V52" i="3"/>
  <c r="Z51" i="3"/>
  <c r="N53" i="3"/>
  <c r="O49" i="3"/>
  <c r="AC59" i="1"/>
  <c r="AE58" i="1" a="1"/>
  <c r="AE58" i="1" s="1"/>
  <c r="U57" i="1"/>
  <c r="Q50" i="1"/>
  <c r="N49" i="1"/>
  <c r="O49" i="1" s="1"/>
  <c r="AT56" i="3" l="1"/>
  <c r="AP57" i="3"/>
  <c r="AE53" i="3"/>
  <c r="AA54" i="3"/>
  <c r="AU58" i="3"/>
  <c r="AY57" i="3"/>
  <c r="Q57" i="3"/>
  <c r="U56" i="3"/>
  <c r="AO55" i="3"/>
  <c r="AK56" i="3"/>
  <c r="Z52" i="3"/>
  <c r="V53" i="3"/>
  <c r="AJ54" i="3"/>
  <c r="AF55" i="3"/>
  <c r="N54" i="3"/>
  <c r="O50" i="3"/>
  <c r="AC60" i="1"/>
  <c r="AE59" i="1" a="1"/>
  <c r="AE59" i="1" s="1"/>
  <c r="U58" i="1"/>
  <c r="Q51" i="1"/>
  <c r="N50" i="1"/>
  <c r="O50" i="1" s="1"/>
  <c r="AA55" i="3" l="1"/>
  <c r="AE54" i="3"/>
  <c r="U57" i="3"/>
  <c r="Q58" i="3"/>
  <c r="AJ55" i="3"/>
  <c r="AF56" i="3"/>
  <c r="AK57" i="3"/>
  <c r="AO56" i="3"/>
  <c r="AT57" i="3"/>
  <c r="AP58" i="3"/>
  <c r="V54" i="3"/>
  <c r="Z53" i="3"/>
  <c r="AY58" i="3"/>
  <c r="AU59" i="3"/>
  <c r="N55" i="3"/>
  <c r="O51" i="3"/>
  <c r="AC61" i="1"/>
  <c r="AE60" i="1" a="1"/>
  <c r="AE60" i="1" s="1"/>
  <c r="U59" i="1"/>
  <c r="Q52" i="1"/>
  <c r="N51" i="1"/>
  <c r="O51" i="1" s="1"/>
  <c r="Q59" i="3" l="1"/>
  <c r="U58" i="3"/>
  <c r="V55" i="3"/>
  <c r="Z54" i="3"/>
  <c r="AK58" i="3"/>
  <c r="AO57" i="3"/>
  <c r="AY59" i="3"/>
  <c r="AU60" i="3"/>
  <c r="AP59" i="3"/>
  <c r="AT58" i="3"/>
  <c r="AF57" i="3"/>
  <c r="AJ56" i="3"/>
  <c r="AE55" i="3"/>
  <c r="AA56" i="3"/>
  <c r="N56" i="3"/>
  <c r="O52" i="3"/>
  <c r="AC62" i="1"/>
  <c r="AE61" i="1" a="1"/>
  <c r="AE61" i="1" s="1"/>
  <c r="U60" i="1"/>
  <c r="Q53" i="1"/>
  <c r="N52" i="1"/>
  <c r="O52" i="1" s="1"/>
  <c r="AU61" i="3" l="1"/>
  <c r="AY60" i="3"/>
  <c r="AJ57" i="3"/>
  <c r="AF58" i="3"/>
  <c r="Z55" i="3"/>
  <c r="V56" i="3"/>
  <c r="AA57" i="3"/>
  <c r="AE56" i="3"/>
  <c r="AP60" i="3"/>
  <c r="AT59" i="3"/>
  <c r="AK59" i="3"/>
  <c r="AO58" i="3"/>
  <c r="Q60" i="3"/>
  <c r="U59" i="3"/>
  <c r="N57" i="3"/>
  <c r="O53" i="3"/>
  <c r="AC63" i="1"/>
  <c r="AE62" i="1" a="1"/>
  <c r="AE62" i="1" s="1"/>
  <c r="U61" i="1"/>
  <c r="Q54" i="1"/>
  <c r="N53" i="1"/>
  <c r="O53" i="1" s="1"/>
  <c r="AJ58" i="3" l="1"/>
  <c r="AF59" i="3"/>
  <c r="AO59" i="3"/>
  <c r="AK60" i="3"/>
  <c r="AA58" i="3"/>
  <c r="AE57" i="3"/>
  <c r="V57" i="3"/>
  <c r="Z56" i="3"/>
  <c r="U60" i="3"/>
  <c r="Q61" i="3"/>
  <c r="AP61" i="3"/>
  <c r="AT60" i="3"/>
  <c r="AU62" i="3"/>
  <c r="AY61" i="3"/>
  <c r="N58" i="3"/>
  <c r="O54" i="3"/>
  <c r="AC64" i="1"/>
  <c r="AE63" i="1" a="1"/>
  <c r="AE63" i="1" s="1"/>
  <c r="U62" i="1"/>
  <c r="Q55" i="1"/>
  <c r="N54" i="1"/>
  <c r="O54" i="1" s="1"/>
  <c r="AK61" i="3" l="1"/>
  <c r="AO60" i="3"/>
  <c r="AP62" i="3"/>
  <c r="AT61" i="3"/>
  <c r="Z57" i="3"/>
  <c r="V58" i="3"/>
  <c r="Q62" i="3"/>
  <c r="U61" i="3"/>
  <c r="AF60" i="3"/>
  <c r="AJ59" i="3"/>
  <c r="AY62" i="3"/>
  <c r="AU63" i="3"/>
  <c r="AE58" i="3"/>
  <c r="AA59" i="3"/>
  <c r="N59" i="3"/>
  <c r="O55" i="3"/>
  <c r="AC65" i="1"/>
  <c r="AE64" i="1" a="1"/>
  <c r="AE64" i="1" s="1"/>
  <c r="U63" i="1"/>
  <c r="Q56" i="1"/>
  <c r="N55" i="1"/>
  <c r="O55" i="1" s="1"/>
  <c r="AU64" i="3" l="1"/>
  <c r="AY63" i="3"/>
  <c r="AT62" i="3"/>
  <c r="AP63" i="3"/>
  <c r="AE59" i="3"/>
  <c r="AA60" i="3"/>
  <c r="V59" i="3"/>
  <c r="Z58" i="3"/>
  <c r="U62" i="3"/>
  <c r="Q63" i="3"/>
  <c r="AJ60" i="3"/>
  <c r="AF61" i="3"/>
  <c r="AK62" i="3"/>
  <c r="AO61" i="3"/>
  <c r="N60" i="3"/>
  <c r="O56" i="3"/>
  <c r="AC66" i="1"/>
  <c r="AE65" i="1" a="1"/>
  <c r="AE65" i="1" s="1"/>
  <c r="U64" i="1"/>
  <c r="Q57" i="1"/>
  <c r="N56" i="1"/>
  <c r="O56" i="1" s="1"/>
  <c r="AP64" i="3" l="1"/>
  <c r="AT63" i="3"/>
  <c r="V60" i="3"/>
  <c r="Z59" i="3"/>
  <c r="AF62" i="3"/>
  <c r="AJ61" i="3"/>
  <c r="U63" i="3"/>
  <c r="Q64" i="3"/>
  <c r="AE60" i="3"/>
  <c r="AA61" i="3"/>
  <c r="AK63" i="3"/>
  <c r="AO62" i="3"/>
  <c r="AU65" i="3"/>
  <c r="AY64" i="3"/>
  <c r="N61" i="3"/>
  <c r="O57" i="3"/>
  <c r="AC67" i="1"/>
  <c r="AE66" i="1" a="1"/>
  <c r="AE66" i="1" s="1"/>
  <c r="U65" i="1"/>
  <c r="Q58" i="1"/>
  <c r="N57" i="1"/>
  <c r="O57" i="1" s="1"/>
  <c r="AO63" i="3" l="1"/>
  <c r="AK64" i="3"/>
  <c r="Z60" i="3"/>
  <c r="V61" i="3"/>
  <c r="AA62" i="3"/>
  <c r="AE61" i="3"/>
  <c r="Q65" i="3"/>
  <c r="U64" i="3"/>
  <c r="AU66" i="3"/>
  <c r="AY65" i="3"/>
  <c r="AJ62" i="3"/>
  <c r="AF63" i="3"/>
  <c r="AT64" i="3"/>
  <c r="AP65" i="3"/>
  <c r="N62" i="3"/>
  <c r="O58" i="3"/>
  <c r="AC68" i="1"/>
  <c r="AE67" i="1" a="1"/>
  <c r="AE67" i="1" s="1"/>
  <c r="U66" i="1"/>
  <c r="Q59" i="1"/>
  <c r="N58" i="1"/>
  <c r="O58" i="1" s="1"/>
  <c r="AJ63" i="3" l="1"/>
  <c r="AF64" i="3"/>
  <c r="V62" i="3"/>
  <c r="Z61" i="3"/>
  <c r="Q66" i="3"/>
  <c r="U65" i="3"/>
  <c r="AP66" i="3"/>
  <c r="AT65" i="3"/>
  <c r="AK65" i="3"/>
  <c r="AO64" i="3"/>
  <c r="AY66" i="3"/>
  <c r="AU67" i="3"/>
  <c r="AA63" i="3"/>
  <c r="AE62" i="3"/>
  <c r="N63" i="3"/>
  <c r="O59" i="3"/>
  <c r="AC69" i="1"/>
  <c r="AE68" i="1" a="1"/>
  <c r="AE68" i="1" s="1"/>
  <c r="U67" i="1"/>
  <c r="Q60" i="1"/>
  <c r="N59" i="1"/>
  <c r="O59" i="1" s="1"/>
  <c r="AP67" i="3" l="1"/>
  <c r="AT66" i="3"/>
  <c r="V63" i="3"/>
  <c r="Z62" i="3"/>
  <c r="AJ64" i="3"/>
  <c r="AF65" i="3"/>
  <c r="AY67" i="3"/>
  <c r="AU68" i="3"/>
  <c r="AE63" i="3"/>
  <c r="AA64" i="3"/>
  <c r="AO65" i="3"/>
  <c r="AK66" i="3"/>
  <c r="Q67" i="3"/>
  <c r="U66" i="3"/>
  <c r="N64" i="3"/>
  <c r="O60" i="3"/>
  <c r="AC70" i="1"/>
  <c r="AE69" i="1" a="1"/>
  <c r="AE69" i="1" s="1"/>
  <c r="U68" i="1"/>
  <c r="Q61" i="1"/>
  <c r="N60" i="1"/>
  <c r="O60" i="1" s="1"/>
  <c r="AK67" i="3" l="1"/>
  <c r="AO66" i="3"/>
  <c r="V64" i="3"/>
  <c r="Z63" i="3"/>
  <c r="AA65" i="3"/>
  <c r="AE64" i="3"/>
  <c r="AJ65" i="3"/>
  <c r="AF66" i="3"/>
  <c r="AU69" i="3"/>
  <c r="AY68" i="3"/>
  <c r="U67" i="3"/>
  <c r="Q68" i="3"/>
  <c r="AT67" i="3"/>
  <c r="AP68" i="3"/>
  <c r="N65" i="3"/>
  <c r="O61" i="3"/>
  <c r="AC71" i="1"/>
  <c r="AE70" i="1" a="1"/>
  <c r="AE70" i="1" s="1"/>
  <c r="U69" i="1"/>
  <c r="Q62" i="1"/>
  <c r="N61" i="1"/>
  <c r="O61" i="1" s="1"/>
  <c r="V65" i="3" l="1"/>
  <c r="Z64" i="3"/>
  <c r="AF67" i="3"/>
  <c r="AJ66" i="3"/>
  <c r="AT68" i="3"/>
  <c r="AP69" i="3"/>
  <c r="Q69" i="3"/>
  <c r="U68" i="3"/>
  <c r="AY69" i="3"/>
  <c r="AU70" i="3"/>
  <c r="AA66" i="3"/>
  <c r="AE65" i="3"/>
  <c r="AK68" i="3"/>
  <c r="AO67" i="3"/>
  <c r="N66" i="3"/>
  <c r="O62" i="3"/>
  <c r="AC72" i="1"/>
  <c r="AE71" i="1" a="1"/>
  <c r="AE71" i="1" s="1"/>
  <c r="U70" i="1"/>
  <c r="Q63" i="1"/>
  <c r="N62" i="1"/>
  <c r="O62" i="1" s="1"/>
  <c r="AE66" i="3" l="1"/>
  <c r="AA67" i="3"/>
  <c r="Q70" i="3"/>
  <c r="U69" i="3"/>
  <c r="AF68" i="3"/>
  <c r="AJ67" i="3"/>
  <c r="AU71" i="3"/>
  <c r="AY70" i="3"/>
  <c r="AT69" i="3"/>
  <c r="AP70" i="3"/>
  <c r="AO68" i="3"/>
  <c r="AK69" i="3"/>
  <c r="Z65" i="3"/>
  <c r="V66" i="3"/>
  <c r="N67" i="3"/>
  <c r="O63" i="3"/>
  <c r="AC73" i="1"/>
  <c r="AE72" i="1" a="1"/>
  <c r="AE72" i="1" s="1"/>
  <c r="U71" i="1"/>
  <c r="Q64" i="1"/>
  <c r="N63" i="1"/>
  <c r="O63" i="1" s="1"/>
  <c r="AU72" i="3" l="1"/>
  <c r="AY71" i="3"/>
  <c r="Q71" i="3"/>
  <c r="U70" i="3"/>
  <c r="Z66" i="3"/>
  <c r="V67" i="3"/>
  <c r="AP71" i="3"/>
  <c r="AT70" i="3"/>
  <c r="AE67" i="3"/>
  <c r="AA68" i="3"/>
  <c r="AK70" i="3"/>
  <c r="AO69" i="3"/>
  <c r="AJ68" i="3"/>
  <c r="AF69" i="3"/>
  <c r="N68" i="3"/>
  <c r="O64" i="3"/>
  <c r="AC74" i="1"/>
  <c r="AE73" i="1" a="1"/>
  <c r="AE73" i="1" s="1"/>
  <c r="U72" i="1"/>
  <c r="Q65" i="1"/>
  <c r="N64" i="1"/>
  <c r="O64" i="1" s="1"/>
  <c r="AO70" i="3" l="1"/>
  <c r="AK71" i="3"/>
  <c r="AT71" i="3"/>
  <c r="AP72" i="3"/>
  <c r="U71" i="3"/>
  <c r="Q72" i="3"/>
  <c r="AF70" i="3"/>
  <c r="AJ69" i="3"/>
  <c r="AE68" i="3"/>
  <c r="AA69" i="3"/>
  <c r="Z67" i="3"/>
  <c r="V68" i="3"/>
  <c r="AU73" i="3"/>
  <c r="AY72" i="3"/>
  <c r="N69" i="3"/>
  <c r="O65" i="3"/>
  <c r="AC75" i="1"/>
  <c r="AE74" i="1" a="1"/>
  <c r="AE74" i="1" s="1"/>
  <c r="U73" i="1"/>
  <c r="Q66" i="1"/>
  <c r="N65" i="1"/>
  <c r="O65" i="1" s="1"/>
  <c r="AT72" i="3" l="1"/>
  <c r="AP73" i="3"/>
  <c r="AJ70" i="3"/>
  <c r="AF71" i="3"/>
  <c r="AE69" i="3"/>
  <c r="AA70" i="3"/>
  <c r="U72" i="3"/>
  <c r="Q73" i="3"/>
  <c r="AK72" i="3"/>
  <c r="AO71" i="3"/>
  <c r="V69" i="3"/>
  <c r="Z68" i="3"/>
  <c r="AU74" i="3"/>
  <c r="AY73" i="3"/>
  <c r="N70" i="3"/>
  <c r="O66" i="3"/>
  <c r="AC76" i="1"/>
  <c r="AE75" i="1" a="1"/>
  <c r="AE75" i="1" s="1"/>
  <c r="U74" i="1"/>
  <c r="Q67" i="1"/>
  <c r="N66" i="1"/>
  <c r="O66" i="1" s="1"/>
  <c r="AF72" i="3" l="1"/>
  <c r="AJ71" i="3"/>
  <c r="Z69" i="3"/>
  <c r="V70" i="3"/>
  <c r="AA71" i="3"/>
  <c r="AE70" i="3"/>
  <c r="AT73" i="3"/>
  <c r="AP74" i="3"/>
  <c r="Q74" i="3"/>
  <c r="U73" i="3"/>
  <c r="AU75" i="3"/>
  <c r="AY74" i="3"/>
  <c r="AK73" i="3"/>
  <c r="AO72" i="3"/>
  <c r="N71" i="3"/>
  <c r="O67" i="3"/>
  <c r="AC77" i="1"/>
  <c r="AE76" i="1" a="1"/>
  <c r="AE76" i="1" s="1"/>
  <c r="U75" i="1"/>
  <c r="Q68" i="1"/>
  <c r="N67" i="1"/>
  <c r="O67" i="1" s="1"/>
  <c r="AU76" i="3" l="1"/>
  <c r="AY75" i="3"/>
  <c r="V71" i="3"/>
  <c r="Z70" i="3"/>
  <c r="AT74" i="3"/>
  <c r="AP75" i="3"/>
  <c r="AO73" i="3"/>
  <c r="AK74" i="3"/>
  <c r="U74" i="3"/>
  <c r="Q75" i="3"/>
  <c r="AE71" i="3"/>
  <c r="AA72" i="3"/>
  <c r="AF73" i="3"/>
  <c r="AJ72" i="3"/>
  <c r="N72" i="3"/>
  <c r="O68" i="3"/>
  <c r="AC78" i="1"/>
  <c r="AE77" i="1" a="1"/>
  <c r="AE77" i="1" s="1"/>
  <c r="U76" i="1"/>
  <c r="Q69" i="1"/>
  <c r="N68" i="1"/>
  <c r="O68" i="1" s="1"/>
  <c r="V72" i="3" l="1"/>
  <c r="Z71" i="3"/>
  <c r="AO74" i="3"/>
  <c r="AK75" i="3"/>
  <c r="U75" i="3"/>
  <c r="Q76" i="3"/>
  <c r="AP76" i="3"/>
  <c r="AT75" i="3"/>
  <c r="AE72" i="3"/>
  <c r="AA73" i="3"/>
  <c r="AF74" i="3"/>
  <c r="AJ73" i="3"/>
  <c r="AU77" i="3"/>
  <c r="AY76" i="3"/>
  <c r="N73" i="3"/>
  <c r="O69" i="3"/>
  <c r="AC79" i="1"/>
  <c r="AE78" i="1" a="1"/>
  <c r="AE78" i="1" s="1"/>
  <c r="U77" i="1"/>
  <c r="Q70" i="1"/>
  <c r="N69" i="1"/>
  <c r="O69" i="1" s="1"/>
  <c r="AJ74" i="3" l="1"/>
  <c r="AF75" i="3"/>
  <c r="AP77" i="3"/>
  <c r="AT76" i="3"/>
  <c r="AK76" i="3"/>
  <c r="AO75" i="3"/>
  <c r="AA74" i="3"/>
  <c r="AE73" i="3"/>
  <c r="Q77" i="3"/>
  <c r="U76" i="3"/>
  <c r="AU78" i="3"/>
  <c r="AY77" i="3"/>
  <c r="V73" i="3"/>
  <c r="Z72" i="3"/>
  <c r="N74" i="3"/>
  <c r="O70" i="3"/>
  <c r="AC80" i="1"/>
  <c r="AE79" i="1" a="1"/>
  <c r="AE79" i="1" s="1"/>
  <c r="U78" i="1"/>
  <c r="Q71" i="1"/>
  <c r="N70" i="1"/>
  <c r="O70" i="1" s="1"/>
  <c r="AY78" i="3" l="1"/>
  <c r="AU79" i="3"/>
  <c r="AA75" i="3"/>
  <c r="AE74" i="3"/>
  <c r="AP78" i="3"/>
  <c r="AT77" i="3"/>
  <c r="AJ75" i="3"/>
  <c r="AF76" i="3"/>
  <c r="V74" i="3"/>
  <c r="Z73" i="3"/>
  <c r="Q78" i="3"/>
  <c r="U77" i="3"/>
  <c r="AO76" i="3"/>
  <c r="AK77" i="3"/>
  <c r="N75" i="3"/>
  <c r="O71" i="3"/>
  <c r="AC81" i="1"/>
  <c r="AE80" i="1" a="1"/>
  <c r="AE80" i="1" s="1"/>
  <c r="U79" i="1"/>
  <c r="Q72" i="1"/>
  <c r="N71" i="1"/>
  <c r="O71" i="1" s="1"/>
  <c r="AF77" i="3" l="1"/>
  <c r="AJ76" i="3"/>
  <c r="Q79" i="3"/>
  <c r="U78" i="3"/>
  <c r="AE75" i="3"/>
  <c r="AA76" i="3"/>
  <c r="AK78" i="3"/>
  <c r="AO77" i="3"/>
  <c r="AU80" i="3"/>
  <c r="AY79" i="3"/>
  <c r="Z74" i="3"/>
  <c r="V75" i="3"/>
  <c r="AP79" i="3"/>
  <c r="AT78" i="3"/>
  <c r="N76" i="3"/>
  <c r="O72" i="3"/>
  <c r="AC82" i="1"/>
  <c r="AE81" i="1" a="1"/>
  <c r="AE81" i="1" s="1"/>
  <c r="U80" i="1"/>
  <c r="Q73" i="1"/>
  <c r="N72" i="1"/>
  <c r="O72" i="1" s="1"/>
  <c r="AK79" i="3" l="1"/>
  <c r="AO78" i="3"/>
  <c r="U79" i="3"/>
  <c r="Q80" i="3"/>
  <c r="V76" i="3"/>
  <c r="Z75" i="3"/>
  <c r="AE76" i="3"/>
  <c r="AA77" i="3"/>
  <c r="AP80" i="3"/>
  <c r="AT79" i="3"/>
  <c r="AU81" i="3"/>
  <c r="AY80" i="3"/>
  <c r="AJ77" i="3"/>
  <c r="AF78" i="3"/>
  <c r="N77" i="3"/>
  <c r="O73" i="3"/>
  <c r="AC83" i="1"/>
  <c r="AE82" i="1" a="1"/>
  <c r="AE82" i="1" s="1"/>
  <c r="U81" i="1"/>
  <c r="Q74" i="1"/>
  <c r="N73" i="1"/>
  <c r="O73" i="1" s="1"/>
  <c r="U80" i="3" l="1"/>
  <c r="Q81" i="3"/>
  <c r="AU82" i="3"/>
  <c r="AY81" i="3"/>
  <c r="AF79" i="3"/>
  <c r="AJ78" i="3"/>
  <c r="AE77" i="3"/>
  <c r="AA78" i="3"/>
  <c r="AP81" i="3"/>
  <c r="AT80" i="3"/>
  <c r="Z76" i="3"/>
  <c r="V77" i="3"/>
  <c r="AO79" i="3"/>
  <c r="AK80" i="3"/>
  <c r="N78" i="3"/>
  <c r="O74" i="3"/>
  <c r="AC84" i="1"/>
  <c r="AE83" i="1" a="1"/>
  <c r="AE83" i="1" s="1"/>
  <c r="U82" i="1"/>
  <c r="Q75" i="1"/>
  <c r="N74" i="1"/>
  <c r="O74" i="1" s="1"/>
  <c r="Z77" i="3" l="1"/>
  <c r="V78" i="3"/>
  <c r="AE78" i="3"/>
  <c r="AA79" i="3"/>
  <c r="AY82" i="3"/>
  <c r="AU83" i="3"/>
  <c r="AK81" i="3"/>
  <c r="AO80" i="3"/>
  <c r="Q82" i="3"/>
  <c r="U81" i="3"/>
  <c r="AP82" i="3"/>
  <c r="AT81" i="3"/>
  <c r="AF80" i="3"/>
  <c r="AJ79" i="3"/>
  <c r="N79" i="3"/>
  <c r="O75" i="3"/>
  <c r="AC85" i="1"/>
  <c r="AE84" i="1" a="1"/>
  <c r="AE84" i="1" s="1"/>
  <c r="U83" i="1"/>
  <c r="Q76" i="1"/>
  <c r="N75" i="1"/>
  <c r="O75" i="1" s="1"/>
  <c r="AE79" i="3" l="1"/>
  <c r="AA80" i="3"/>
  <c r="AP83" i="3"/>
  <c r="AT82" i="3"/>
  <c r="AO81" i="3"/>
  <c r="AK82" i="3"/>
  <c r="AY83" i="3"/>
  <c r="AU84" i="3"/>
  <c r="Z78" i="3"/>
  <c r="V79" i="3"/>
  <c r="AF81" i="3"/>
  <c r="AJ80" i="3"/>
  <c r="Q83" i="3"/>
  <c r="U82" i="3"/>
  <c r="N80" i="3"/>
  <c r="O76" i="3"/>
  <c r="AC86" i="1"/>
  <c r="AE85" i="1" a="1"/>
  <c r="AE85" i="1" s="1"/>
  <c r="U84" i="1"/>
  <c r="Q77" i="1"/>
  <c r="N76" i="1"/>
  <c r="O76" i="1" s="1"/>
  <c r="AJ81" i="3" l="1"/>
  <c r="AF82" i="3"/>
  <c r="AT83" i="3"/>
  <c r="AP84" i="3"/>
  <c r="V80" i="3"/>
  <c r="Z79" i="3"/>
  <c r="AK83" i="3"/>
  <c r="AO82" i="3"/>
  <c r="AA81" i="3"/>
  <c r="AE80" i="3"/>
  <c r="AU85" i="3"/>
  <c r="AY84" i="3"/>
  <c r="Q84" i="3"/>
  <c r="U83" i="3"/>
  <c r="N81" i="3"/>
  <c r="O77" i="3"/>
  <c r="AC87" i="1"/>
  <c r="AE86" i="1" a="1"/>
  <c r="AE86" i="1" s="1"/>
  <c r="U85" i="1"/>
  <c r="Q78" i="1"/>
  <c r="N77" i="1"/>
  <c r="O77" i="1" s="1"/>
  <c r="AU86" i="3" l="1"/>
  <c r="AY85" i="3"/>
  <c r="AK84" i="3"/>
  <c r="AO83" i="3"/>
  <c r="AT84" i="3"/>
  <c r="AP85" i="3"/>
  <c r="AJ82" i="3"/>
  <c r="AF83" i="3"/>
  <c r="U84" i="3"/>
  <c r="Q85" i="3"/>
  <c r="AA82" i="3"/>
  <c r="AE81" i="3"/>
  <c r="V81" i="3"/>
  <c r="Z80" i="3"/>
  <c r="N82" i="3"/>
  <c r="O78" i="3"/>
  <c r="AC88" i="1"/>
  <c r="AE87" i="1" a="1"/>
  <c r="AE87" i="1" s="1"/>
  <c r="U86" i="1"/>
  <c r="Q79" i="1"/>
  <c r="N78" i="1"/>
  <c r="O78" i="1" s="1"/>
  <c r="AE82" i="3" l="1"/>
  <c r="AA83" i="3"/>
  <c r="AO84" i="3"/>
  <c r="AK85" i="3"/>
  <c r="U85" i="3"/>
  <c r="Q86" i="3"/>
  <c r="AT85" i="3"/>
  <c r="AP86" i="3"/>
  <c r="AF84" i="3"/>
  <c r="AJ83" i="3"/>
  <c r="V82" i="3"/>
  <c r="Z81" i="3"/>
  <c r="AU87" i="3"/>
  <c r="AY86" i="3"/>
  <c r="N83" i="3"/>
  <c r="O79" i="3"/>
  <c r="AC89" i="1"/>
  <c r="AE88" i="1" a="1"/>
  <c r="AE88" i="1" s="1"/>
  <c r="U87" i="1"/>
  <c r="Q80" i="1"/>
  <c r="N79" i="1"/>
  <c r="O79" i="1" s="1"/>
  <c r="AO85" i="3" l="1"/>
  <c r="AK86" i="3"/>
  <c r="V83" i="3"/>
  <c r="Z82" i="3"/>
  <c r="AT86" i="3"/>
  <c r="AP87" i="3"/>
  <c r="Q87" i="3"/>
  <c r="U86" i="3"/>
  <c r="AE83" i="3"/>
  <c r="AA84" i="3"/>
  <c r="AU88" i="3"/>
  <c r="AY87" i="3"/>
  <c r="AJ84" i="3"/>
  <c r="AF85" i="3"/>
  <c r="N84" i="3"/>
  <c r="O80" i="3"/>
  <c r="AC90" i="1"/>
  <c r="AE89" i="1" a="1"/>
  <c r="AE89" i="1" s="1"/>
  <c r="U88" i="1"/>
  <c r="Q81" i="1"/>
  <c r="N80" i="1"/>
  <c r="O80" i="1" s="1"/>
  <c r="AU89" i="3" l="1"/>
  <c r="AY88" i="3"/>
  <c r="U87" i="3"/>
  <c r="Q88" i="3"/>
  <c r="V84" i="3"/>
  <c r="Z83" i="3"/>
  <c r="AA85" i="3"/>
  <c r="AE84" i="3"/>
  <c r="AT87" i="3"/>
  <c r="AP88" i="3"/>
  <c r="AK87" i="3"/>
  <c r="AO86" i="3"/>
  <c r="AF86" i="3"/>
  <c r="AJ85" i="3"/>
  <c r="N85" i="3"/>
  <c r="O81" i="3"/>
  <c r="AC91" i="1"/>
  <c r="AE90" i="1" a="1"/>
  <c r="AE90" i="1" s="1"/>
  <c r="U89" i="1"/>
  <c r="Q82" i="1"/>
  <c r="N81" i="1"/>
  <c r="O81" i="1" s="1"/>
  <c r="Q89" i="3" l="1"/>
  <c r="U88" i="3"/>
  <c r="AK88" i="3"/>
  <c r="AO87" i="3"/>
  <c r="AE85" i="3"/>
  <c r="AA86" i="3"/>
  <c r="AP89" i="3"/>
  <c r="AT88" i="3"/>
  <c r="AF87" i="3"/>
  <c r="AJ86" i="3"/>
  <c r="Z84" i="3"/>
  <c r="V85" i="3"/>
  <c r="AU90" i="3"/>
  <c r="AY89" i="3"/>
  <c r="N86" i="3"/>
  <c r="O82" i="3"/>
  <c r="AC92" i="1"/>
  <c r="AE91" i="1" a="1"/>
  <c r="AE91" i="1" s="1"/>
  <c r="U90" i="1"/>
  <c r="Q83" i="1"/>
  <c r="N82" i="1"/>
  <c r="O82" i="1" s="1"/>
  <c r="Z85" i="3" l="1"/>
  <c r="V86" i="3"/>
  <c r="AP90" i="3"/>
  <c r="AT89" i="3"/>
  <c r="AK89" i="3"/>
  <c r="AO88" i="3"/>
  <c r="AA87" i="3"/>
  <c r="AE86" i="3"/>
  <c r="AU91" i="3"/>
  <c r="AY90" i="3"/>
  <c r="AF88" i="3"/>
  <c r="AJ87" i="3"/>
  <c r="Q90" i="3"/>
  <c r="U89" i="3"/>
  <c r="N87" i="3"/>
  <c r="O83" i="3"/>
  <c r="AC93" i="1"/>
  <c r="AE92" i="1" a="1"/>
  <c r="AE92" i="1" s="1"/>
  <c r="U91" i="1"/>
  <c r="Q84" i="1"/>
  <c r="N83" i="1"/>
  <c r="O83" i="1" s="1"/>
  <c r="AF89" i="3" l="1"/>
  <c r="AJ88" i="3"/>
  <c r="AA88" i="3"/>
  <c r="AE87" i="3"/>
  <c r="AP91" i="3"/>
  <c r="AT90" i="3"/>
  <c r="V87" i="3"/>
  <c r="Z86" i="3"/>
  <c r="Q91" i="3"/>
  <c r="U90" i="3"/>
  <c r="AU92" i="3"/>
  <c r="AY91" i="3"/>
  <c r="AO89" i="3"/>
  <c r="AK90" i="3"/>
  <c r="N88" i="3"/>
  <c r="O84" i="3"/>
  <c r="AC94" i="1"/>
  <c r="AE93" i="1" a="1"/>
  <c r="AE93" i="1" s="1"/>
  <c r="U92" i="1"/>
  <c r="Q85" i="1"/>
  <c r="N84" i="1"/>
  <c r="O84" i="1" s="1"/>
  <c r="AY92" i="3" l="1"/>
  <c r="AU93" i="3"/>
  <c r="V88" i="3"/>
  <c r="Z87" i="3"/>
  <c r="AE88" i="3"/>
  <c r="AA89" i="3"/>
  <c r="AO90" i="3"/>
  <c r="AK91" i="3"/>
  <c r="Q92" i="3"/>
  <c r="U91" i="3"/>
  <c r="AP92" i="3"/>
  <c r="AT91" i="3"/>
  <c r="AF90" i="3"/>
  <c r="AJ89" i="3"/>
  <c r="N89" i="3"/>
  <c r="O85" i="3"/>
  <c r="AC95" i="1"/>
  <c r="AE94" i="1" a="1"/>
  <c r="AE94" i="1" s="1"/>
  <c r="U93" i="1"/>
  <c r="Q86" i="1"/>
  <c r="N85" i="1"/>
  <c r="O85" i="1" s="1"/>
  <c r="AO91" i="3" l="1"/>
  <c r="AK92" i="3"/>
  <c r="AT92" i="3"/>
  <c r="AP93" i="3"/>
  <c r="V89" i="3"/>
  <c r="Z88" i="3"/>
  <c r="AA90" i="3"/>
  <c r="AE89" i="3"/>
  <c r="AY93" i="3"/>
  <c r="AU94" i="3"/>
  <c r="AJ90" i="3"/>
  <c r="AF91" i="3"/>
  <c r="Q93" i="3"/>
  <c r="U92" i="3"/>
  <c r="N90" i="3"/>
  <c r="O86" i="3"/>
  <c r="AC96" i="1"/>
  <c r="AE95" i="1" a="1"/>
  <c r="AE95" i="1" s="1"/>
  <c r="U94" i="1"/>
  <c r="Q87" i="1"/>
  <c r="N86" i="1"/>
  <c r="O86" i="1" s="1"/>
  <c r="AT93" i="3" l="1"/>
  <c r="AP94" i="3"/>
  <c r="AA91" i="3"/>
  <c r="AE90" i="3"/>
  <c r="AU95" i="3"/>
  <c r="AY94" i="3"/>
  <c r="AO92" i="3"/>
  <c r="AK93" i="3"/>
  <c r="AJ91" i="3"/>
  <c r="AF92" i="3"/>
  <c r="Q94" i="3"/>
  <c r="U93" i="3"/>
  <c r="V90" i="3"/>
  <c r="Z89" i="3"/>
  <c r="N91" i="3"/>
  <c r="O87" i="3"/>
  <c r="AC97" i="1"/>
  <c r="AE96" i="1" a="1"/>
  <c r="AE96" i="1" s="1"/>
  <c r="U95" i="1"/>
  <c r="Q88" i="1"/>
  <c r="N87" i="1"/>
  <c r="O87" i="1" s="1"/>
  <c r="Q95" i="3" l="1"/>
  <c r="U94" i="3"/>
  <c r="AK94" i="3"/>
  <c r="AO93" i="3"/>
  <c r="AJ92" i="3"/>
  <c r="AF93" i="3"/>
  <c r="AP95" i="3"/>
  <c r="AT94" i="3"/>
  <c r="AE91" i="3"/>
  <c r="AA92" i="3"/>
  <c r="V91" i="3"/>
  <c r="Z90" i="3"/>
  <c r="AY95" i="3"/>
  <c r="AU96" i="3"/>
  <c r="N92" i="3"/>
  <c r="O88" i="3"/>
  <c r="AC98" i="1"/>
  <c r="AE97" i="1" a="1"/>
  <c r="AE97" i="1" s="1"/>
  <c r="U96" i="1"/>
  <c r="Q89" i="1"/>
  <c r="N88" i="1"/>
  <c r="O88" i="1" s="1"/>
  <c r="V92" i="3" l="1"/>
  <c r="Z91" i="3"/>
  <c r="AP96" i="3"/>
  <c r="AT95" i="3"/>
  <c r="AO94" i="3"/>
  <c r="AK95" i="3"/>
  <c r="AU97" i="3"/>
  <c r="AY96" i="3"/>
  <c r="AE92" i="3"/>
  <c r="AA93" i="3"/>
  <c r="AF94" i="3"/>
  <c r="AJ93" i="3"/>
  <c r="Q96" i="3"/>
  <c r="U95" i="3"/>
  <c r="N93" i="3"/>
  <c r="O89" i="3"/>
  <c r="AC99" i="1"/>
  <c r="AE98" i="1" a="1"/>
  <c r="AE98" i="1" s="1"/>
  <c r="U97" i="1"/>
  <c r="Q90" i="1"/>
  <c r="N89" i="1"/>
  <c r="O89" i="1" s="1"/>
  <c r="AJ94" i="3" l="1"/>
  <c r="AF95" i="3"/>
  <c r="AU98" i="3"/>
  <c r="AY97" i="3"/>
  <c r="AT96" i="3"/>
  <c r="AP97" i="3"/>
  <c r="AA94" i="3"/>
  <c r="AE93" i="3"/>
  <c r="AK96" i="3"/>
  <c r="AO95" i="3"/>
  <c r="Q97" i="3"/>
  <c r="U96" i="3"/>
  <c r="Z92" i="3"/>
  <c r="V93" i="3"/>
  <c r="N94" i="3"/>
  <c r="O90" i="3"/>
  <c r="AC100" i="1"/>
  <c r="AE99" i="1" a="1"/>
  <c r="AE99" i="1" s="1"/>
  <c r="U98" i="1"/>
  <c r="Q91" i="1"/>
  <c r="N90" i="1"/>
  <c r="O90" i="1" s="1"/>
  <c r="Q98" i="3" l="1"/>
  <c r="U97" i="3"/>
  <c r="AA95" i="3"/>
  <c r="AE94" i="3"/>
  <c r="AU99" i="3"/>
  <c r="AY98" i="3"/>
  <c r="V94" i="3"/>
  <c r="Z93" i="3"/>
  <c r="AP98" i="3"/>
  <c r="AT97" i="3"/>
  <c r="AF96" i="3"/>
  <c r="AJ95" i="3"/>
  <c r="AO96" i="3"/>
  <c r="AK97" i="3"/>
  <c r="N95" i="3"/>
  <c r="O91" i="3"/>
  <c r="AC101" i="1"/>
  <c r="AE100" i="1" a="1"/>
  <c r="AE100" i="1" s="1"/>
  <c r="U99" i="1"/>
  <c r="Q92" i="1"/>
  <c r="N91" i="1"/>
  <c r="O91" i="1" s="1"/>
  <c r="AJ96" i="3" l="1"/>
  <c r="AF97" i="3"/>
  <c r="V95" i="3"/>
  <c r="Z94" i="3"/>
  <c r="AA96" i="3"/>
  <c r="AE95" i="3"/>
  <c r="AO97" i="3"/>
  <c r="AK98" i="3"/>
  <c r="AT98" i="3"/>
  <c r="AP99" i="3"/>
  <c r="AY99" i="3"/>
  <c r="AU100" i="3"/>
  <c r="Q99" i="3"/>
  <c r="U98" i="3"/>
  <c r="N96" i="3"/>
  <c r="O92" i="3"/>
  <c r="AC102" i="1"/>
  <c r="AE101" i="1" a="1"/>
  <c r="AE101" i="1" s="1"/>
  <c r="U100" i="1"/>
  <c r="Q93" i="1"/>
  <c r="N92" i="1"/>
  <c r="O92" i="1" s="1"/>
  <c r="AK99" i="3" l="1"/>
  <c r="AO98" i="3"/>
  <c r="Z95" i="3"/>
  <c r="V96" i="3"/>
  <c r="AY100" i="3"/>
  <c r="AU101" i="3"/>
  <c r="AP100" i="3"/>
  <c r="AT99" i="3"/>
  <c r="AF98" i="3"/>
  <c r="AJ97" i="3"/>
  <c r="U99" i="3"/>
  <c r="Q100" i="3"/>
  <c r="AA97" i="3"/>
  <c r="AE96" i="3"/>
  <c r="N97" i="3"/>
  <c r="O93" i="3"/>
  <c r="AC103" i="1"/>
  <c r="AE102" i="1" a="1"/>
  <c r="AE102" i="1" s="1"/>
  <c r="U101" i="1"/>
  <c r="Q94" i="1"/>
  <c r="N93" i="1"/>
  <c r="O93" i="1" s="1"/>
  <c r="V97" i="3" l="1"/>
  <c r="Z96" i="3"/>
  <c r="AT100" i="3"/>
  <c r="AP101" i="3"/>
  <c r="AY101" i="3"/>
  <c r="AU102" i="3"/>
  <c r="U100" i="3"/>
  <c r="Q101" i="3"/>
  <c r="AE97" i="3"/>
  <c r="AA98" i="3"/>
  <c r="AF99" i="3"/>
  <c r="AJ98" i="3"/>
  <c r="AK100" i="3"/>
  <c r="AO99" i="3"/>
  <c r="N98" i="3"/>
  <c r="O94" i="3"/>
  <c r="AC104" i="1"/>
  <c r="AE103" i="1" a="1"/>
  <c r="AE103" i="1" s="1"/>
  <c r="U102" i="1"/>
  <c r="Q95" i="1"/>
  <c r="N94" i="1"/>
  <c r="O94" i="1" s="1"/>
  <c r="AT101" i="3" l="1"/>
  <c r="AP102" i="3"/>
  <c r="AF100" i="3"/>
  <c r="AJ99" i="3"/>
  <c r="AA99" i="3"/>
  <c r="AE98" i="3"/>
  <c r="AY102" i="3"/>
  <c r="AU103" i="3"/>
  <c r="Q102" i="3"/>
  <c r="U101" i="3"/>
  <c r="AK101" i="3"/>
  <c r="AO100" i="3"/>
  <c r="V98" i="3"/>
  <c r="Z97" i="3"/>
  <c r="N99" i="3"/>
  <c r="O95" i="3"/>
  <c r="AC105" i="1"/>
  <c r="AE104" i="1" a="1"/>
  <c r="AE104" i="1" s="1"/>
  <c r="U103" i="1"/>
  <c r="Q96" i="1"/>
  <c r="N95" i="1"/>
  <c r="O95" i="1" s="1"/>
  <c r="AO101" i="3" l="1"/>
  <c r="AK102" i="3"/>
  <c r="AJ100" i="3"/>
  <c r="AF101" i="3"/>
  <c r="AP103" i="3"/>
  <c r="AT102" i="3"/>
  <c r="AY103" i="3"/>
  <c r="AU104" i="3"/>
  <c r="Z98" i="3"/>
  <c r="V99" i="3"/>
  <c r="Q103" i="3"/>
  <c r="U102" i="3"/>
  <c r="AA100" i="3"/>
  <c r="AE99" i="3"/>
  <c r="N100" i="3"/>
  <c r="O96" i="3"/>
  <c r="AC106" i="1"/>
  <c r="AE105" i="1" a="1"/>
  <c r="AE105" i="1" s="1"/>
  <c r="U104" i="1"/>
  <c r="Q97" i="1"/>
  <c r="N96" i="1"/>
  <c r="O96" i="1" s="1"/>
  <c r="AU105" i="3" l="1"/>
  <c r="AY104" i="3"/>
  <c r="Q104" i="3"/>
  <c r="U103" i="3"/>
  <c r="AF102" i="3"/>
  <c r="AJ101" i="3"/>
  <c r="Z99" i="3"/>
  <c r="V100" i="3"/>
  <c r="AO102" i="3"/>
  <c r="AK103" i="3"/>
  <c r="AE100" i="3"/>
  <c r="AA101" i="3"/>
  <c r="AP104" i="3"/>
  <c r="AT103" i="3"/>
  <c r="N101" i="3"/>
  <c r="O97" i="3"/>
  <c r="AC107" i="1"/>
  <c r="AE106" i="1" a="1"/>
  <c r="AE106" i="1" s="1"/>
  <c r="U105" i="1"/>
  <c r="Q98" i="1"/>
  <c r="N97" i="1"/>
  <c r="O97" i="1" s="1"/>
  <c r="Z100" i="3" l="1"/>
  <c r="V101" i="3"/>
  <c r="Q105" i="3"/>
  <c r="U104" i="3"/>
  <c r="AE101" i="3"/>
  <c r="AA102" i="3"/>
  <c r="AO103" i="3"/>
  <c r="AK104" i="3"/>
  <c r="AP105" i="3"/>
  <c r="AT104" i="3"/>
  <c r="AF103" i="3"/>
  <c r="AJ102" i="3"/>
  <c r="AY105" i="3"/>
  <c r="AU106" i="3"/>
  <c r="N102" i="3"/>
  <c r="O98" i="3"/>
  <c r="AC108" i="1"/>
  <c r="AE108" i="1" s="1" a="1"/>
  <c r="AE108" i="1" s="1"/>
  <c r="AE107" i="1" a="1"/>
  <c r="AE107" i="1" s="1"/>
  <c r="U106" i="1"/>
  <c r="Q99" i="1"/>
  <c r="N98" i="1"/>
  <c r="O98" i="1" s="1"/>
  <c r="AJ103" i="3" l="1"/>
  <c r="AF104" i="3"/>
  <c r="U105" i="3"/>
  <c r="Q106" i="3"/>
  <c r="AU107" i="3"/>
  <c r="AY106" i="3"/>
  <c r="AE102" i="3"/>
  <c r="AA103" i="3"/>
  <c r="V102" i="3"/>
  <c r="Z101" i="3"/>
  <c r="AK105" i="3"/>
  <c r="AO104" i="3"/>
  <c r="AT105" i="3"/>
  <c r="AP106" i="3"/>
  <c r="N103" i="3"/>
  <c r="O99" i="3"/>
  <c r="U107" i="1"/>
  <c r="Q100" i="1"/>
  <c r="N99" i="1"/>
  <c r="O99" i="1" s="1"/>
  <c r="AE103" i="3" l="1"/>
  <c r="AA104" i="3"/>
  <c r="U106" i="3"/>
  <c r="Q107" i="3"/>
  <c r="AK106" i="3"/>
  <c r="AO105" i="3"/>
  <c r="AT106" i="3"/>
  <c r="AP107" i="3"/>
  <c r="AF105" i="3"/>
  <c r="AJ104" i="3"/>
  <c r="Z102" i="3"/>
  <c r="V103" i="3"/>
  <c r="AY107" i="3"/>
  <c r="AU108" i="3"/>
  <c r="AY108" i="3" s="1"/>
  <c r="N104" i="3"/>
  <c r="O100" i="3"/>
  <c r="U108" i="1"/>
  <c r="Q101" i="1"/>
  <c r="N100" i="1"/>
  <c r="O100" i="1" s="1"/>
  <c r="Q108" i="3" l="1"/>
  <c r="U108" i="3" s="1"/>
  <c r="U107" i="3"/>
  <c r="AA105" i="3"/>
  <c r="AE104" i="3"/>
  <c r="Z103" i="3"/>
  <c r="V104" i="3"/>
  <c r="AP108" i="3"/>
  <c r="AT108" i="3" s="1"/>
  <c r="AT107" i="3"/>
  <c r="AJ105" i="3"/>
  <c r="AF106" i="3"/>
  <c r="AO106" i="3"/>
  <c r="AK107" i="3"/>
  <c r="N105" i="3"/>
  <c r="I41" i="3"/>
  <c r="H41" i="3" s="1"/>
  <c r="G41" i="3" s="1"/>
  <c r="J41" i="3"/>
  <c r="O101" i="3"/>
  <c r="Q102" i="1"/>
  <c r="N101" i="1"/>
  <c r="O101" i="1" s="1"/>
  <c r="AO107" i="3" l="1"/>
  <c r="AK108" i="3"/>
  <c r="AO108" i="3" s="1"/>
  <c r="AA106" i="3"/>
  <c r="AE105" i="3"/>
  <c r="AF107" i="3"/>
  <c r="AJ106" i="3"/>
  <c r="Z104" i="3"/>
  <c r="V105" i="3"/>
  <c r="N106" i="3"/>
  <c r="E41" i="3"/>
  <c r="C41" i="3" s="1"/>
  <c r="I40" i="3"/>
  <c r="H40" i="3" s="1"/>
  <c r="G40" i="3" s="1"/>
  <c r="J40" i="3"/>
  <c r="O102" i="3"/>
  <c r="Q103" i="1"/>
  <c r="N102" i="1"/>
  <c r="O102" i="1" s="1"/>
  <c r="AA107" i="3" l="1"/>
  <c r="AE106" i="3"/>
  <c r="V106" i="3"/>
  <c r="Z105" i="3"/>
  <c r="AJ107" i="3"/>
  <c r="AF108" i="3"/>
  <c r="AJ108" i="3" s="1"/>
  <c r="N107" i="3"/>
  <c r="E40" i="3"/>
  <c r="C40" i="3" s="1"/>
  <c r="O103" i="3"/>
  <c r="Q104" i="1"/>
  <c r="N103" i="1"/>
  <c r="O103" i="1" s="1"/>
  <c r="V107" i="3" l="1"/>
  <c r="Z106" i="3"/>
  <c r="AE107" i="3"/>
  <c r="AA108" i="3"/>
  <c r="AE108" i="3" s="1"/>
  <c r="N108" i="3"/>
  <c r="J39" i="3"/>
  <c r="I39" i="3"/>
  <c r="H39" i="3" s="1"/>
  <c r="G39" i="3" s="1"/>
  <c r="I38" i="3"/>
  <c r="H38" i="3" s="1"/>
  <c r="G38" i="3" s="1"/>
  <c r="J38" i="3"/>
  <c r="O104" i="3"/>
  <c r="Q105" i="1"/>
  <c r="N104" i="1"/>
  <c r="O104" i="1" s="1"/>
  <c r="E38" i="3" l="1"/>
  <c r="C38" i="3" s="1"/>
  <c r="V108" i="3"/>
  <c r="Z108" i="3" s="1"/>
  <c r="Z107" i="3"/>
  <c r="E39" i="3"/>
  <c r="C39" i="3" s="1"/>
  <c r="I37" i="3"/>
  <c r="H37" i="3" s="1"/>
  <c r="G37" i="3" s="1"/>
  <c r="J37" i="3"/>
  <c r="O105" i="3"/>
  <c r="Q106" i="1"/>
  <c r="N105" i="1"/>
  <c r="O105" i="1" s="1"/>
  <c r="E37" i="3" l="1"/>
  <c r="C37" i="3" s="1"/>
  <c r="I36" i="3"/>
  <c r="H36" i="3" s="1"/>
  <c r="G36" i="3" s="1"/>
  <c r="J36" i="3"/>
  <c r="E36" i="3" s="1"/>
  <c r="C36" i="3" s="1"/>
  <c r="O106" i="3"/>
  <c r="Q107" i="1"/>
  <c r="N106" i="1"/>
  <c r="O106" i="1" s="1"/>
  <c r="O107" i="3" l="1"/>
  <c r="Q108" i="1"/>
  <c r="N107" i="1"/>
  <c r="O107" i="1" s="1"/>
  <c r="K11" i="3" l="1"/>
  <c r="U11" i="6" s="1"/>
  <c r="N108" i="1"/>
  <c r="O108" i="1" s="1"/>
  <c r="K12" i="3" l="1"/>
  <c r="J35" i="3"/>
  <c r="K13" i="3"/>
  <c r="U13" i="6" s="1"/>
  <c r="O108" i="3"/>
  <c r="K23" i="3" l="1"/>
  <c r="U23" i="6" s="1"/>
  <c r="U12" i="6"/>
  <c r="K24" i="3"/>
  <c r="U24" i="6" s="1"/>
  <c r="K14" i="3"/>
  <c r="U14" i="6" s="1"/>
  <c r="I35" i="3"/>
  <c r="K27" i="3" l="1"/>
  <c r="U27" i="6" s="1"/>
  <c r="H35" i="3"/>
  <c r="G35" i="3" s="1"/>
  <c r="E35" i="3"/>
  <c r="C35" i="3" s="1"/>
  <c r="AE10" i="1" a="1"/>
  <c r="AE10" i="1" s="1"/>
  <c r="AA9" i="1"/>
  <c r="AE11" i="1" a="1"/>
  <c r="AE11" i="1" s="1"/>
  <c r="AA11" i="1"/>
  <c r="AA12" i="1"/>
  <c r="AE13" i="1" a="1"/>
  <c r="AE13" i="1" s="1"/>
  <c r="AA10" i="1"/>
  <c r="AE12" i="1" a="1"/>
  <c r="AE12" i="1" s="1"/>
  <c r="C37" i="1" l="1"/>
  <c r="C38" i="1"/>
  <c r="Q8" i="4" l="1"/>
  <c r="U19" i="6" l="1"/>
  <c r="Y24" i="4" l="1"/>
  <c r="Y25" i="4"/>
  <c r="Y26" i="4"/>
  <c r="Y27" i="4"/>
  <c r="Y28" i="4"/>
  <c r="G17" i="6" l="1"/>
  <c r="J6" i="3"/>
  <c r="L6" i="4"/>
  <c r="B22" i="4" l="1"/>
  <c r="Q9" i="4"/>
  <c r="J6" i="1"/>
  <c r="L6" i="1"/>
  <c r="L6" i="3"/>
  <c r="L6" i="6"/>
  <c r="L5" i="5"/>
  <c r="J6" i="4"/>
  <c r="W85" i="4"/>
  <c r="W64" i="4"/>
  <c r="W68" i="4"/>
  <c r="W105" i="4"/>
  <c r="W78" i="4"/>
  <c r="W67" i="4"/>
  <c r="W70" i="4"/>
  <c r="W47" i="4"/>
  <c r="W49" i="4"/>
  <c r="W77" i="4"/>
  <c r="W28" i="4"/>
  <c r="W51" i="4"/>
  <c r="W33" i="4"/>
  <c r="W69" i="4"/>
  <c r="W108" i="4"/>
  <c r="W79" i="4"/>
  <c r="W14" i="4"/>
  <c r="Y14" i="4" s="1"/>
  <c r="W10" i="4"/>
  <c r="W76" i="4"/>
  <c r="W20" i="4"/>
  <c r="Y20" i="4" s="1"/>
  <c r="W27" i="4"/>
  <c r="W88" i="4"/>
  <c r="W91" i="4"/>
  <c r="W100" i="4"/>
  <c r="W62" i="4"/>
  <c r="W34" i="4"/>
  <c r="W38" i="4"/>
  <c r="W94" i="4"/>
  <c r="W102" i="4"/>
  <c r="W26" i="4"/>
  <c r="W72" i="4"/>
  <c r="W66" i="4"/>
  <c r="W57" i="4"/>
  <c r="W93" i="4"/>
  <c r="W59" i="4"/>
  <c r="W106" i="4"/>
  <c r="W24" i="4"/>
  <c r="W82" i="4"/>
  <c r="W84" i="4"/>
  <c r="W45" i="4"/>
  <c r="W43" i="4"/>
  <c r="W81" i="4"/>
  <c r="W89" i="4"/>
  <c r="W11" i="4"/>
  <c r="Y11" i="4" s="1"/>
  <c r="W53" i="4"/>
  <c r="W61" i="4"/>
  <c r="W60" i="4"/>
  <c r="W90" i="4"/>
  <c r="W104" i="4"/>
  <c r="W103" i="4"/>
  <c r="W13" i="4"/>
  <c r="Y13" i="4" s="1"/>
  <c r="W21" i="4"/>
  <c r="Y21" i="4" s="1"/>
  <c r="W71" i="4"/>
  <c r="W50" i="4"/>
  <c r="W22" i="4"/>
  <c r="Y22" i="4" s="1"/>
  <c r="W36" i="4"/>
  <c r="W15" i="4"/>
  <c r="Y15" i="4" s="1"/>
  <c r="W41" i="4"/>
  <c r="W87" i="4"/>
  <c r="W98" i="4"/>
  <c r="W25" i="4"/>
  <c r="W74" i="4"/>
  <c r="W96" i="4"/>
  <c r="W80" i="4"/>
  <c r="W12" i="4"/>
  <c r="Y12" i="4" s="1"/>
  <c r="W107" i="4"/>
  <c r="W32" i="4"/>
  <c r="W55" i="4"/>
  <c r="W97" i="4"/>
  <c r="W75" i="4"/>
  <c r="W63" i="4"/>
  <c r="W17" i="4"/>
  <c r="Y17" i="4" s="1"/>
  <c r="W42" i="4"/>
  <c r="W52" i="4"/>
  <c r="W101" i="4"/>
  <c r="W92" i="4"/>
  <c r="W44" i="4"/>
  <c r="W37" i="4"/>
  <c r="W65" i="4"/>
  <c r="W39" i="4"/>
  <c r="W35" i="4"/>
  <c r="W30" i="4"/>
  <c r="W29" i="4"/>
  <c r="W19" i="4"/>
  <c r="Y19" i="4" s="1"/>
  <c r="W73" i="4"/>
  <c r="W23" i="4"/>
  <c r="Y23" i="4" s="1"/>
  <c r="W48" i="4"/>
  <c r="W16" i="4"/>
  <c r="Y16" i="4" s="1"/>
  <c r="W58" i="4"/>
  <c r="Z108" i="4"/>
  <c r="Z105" i="4"/>
  <c r="Z101" i="4"/>
  <c r="Z97" i="4"/>
  <c r="Z93" i="4"/>
  <c r="Z89" i="4"/>
  <c r="Z85" i="4"/>
  <c r="Z81" i="4"/>
  <c r="Z77" i="4"/>
  <c r="Z73" i="4"/>
  <c r="Z69" i="4"/>
  <c r="Z65" i="4"/>
  <c r="Z61" i="4"/>
  <c r="Z57" i="4"/>
  <c r="Z53" i="4"/>
  <c r="Z49" i="4"/>
  <c r="Z45" i="4"/>
  <c r="Z41" i="4"/>
  <c r="Z37" i="4"/>
  <c r="Z33" i="4"/>
  <c r="Z29" i="4"/>
  <c r="Z25" i="4"/>
  <c r="Z21" i="4"/>
  <c r="Z17" i="4"/>
  <c r="Z13" i="4"/>
  <c r="Z9" i="4"/>
  <c r="Z52" i="4"/>
  <c r="Z44" i="4"/>
  <c r="Z40" i="4"/>
  <c r="W18" i="4"/>
  <c r="Y18" i="4" s="1"/>
  <c r="W86" i="4"/>
  <c r="Z8" i="4"/>
  <c r="Z104" i="4"/>
  <c r="Z100" i="4"/>
  <c r="Z96" i="4"/>
  <c r="Z92" i="4"/>
  <c r="Z88" i="4"/>
  <c r="Z84" i="4"/>
  <c r="Z80" i="4"/>
  <c r="Z76" i="4"/>
  <c r="Z72" i="4"/>
  <c r="Z68" i="4"/>
  <c r="Z64" i="4"/>
  <c r="Z60" i="4"/>
  <c r="Z56" i="4"/>
  <c r="Z48" i="4"/>
  <c r="W40" i="4"/>
  <c r="W99" i="4"/>
  <c r="W56" i="4"/>
  <c r="W83" i="4"/>
  <c r="Z107" i="4"/>
  <c r="Z103" i="4"/>
  <c r="Z99" i="4"/>
  <c r="Z95" i="4"/>
  <c r="Z91" i="4"/>
  <c r="Z87" i="4"/>
  <c r="Z83" i="4"/>
  <c r="Z79" i="4"/>
  <c r="Z75" i="4"/>
  <c r="Z71" i="4"/>
  <c r="Z67" i="4"/>
  <c r="Z63" i="4"/>
  <c r="Z59" i="4"/>
  <c r="Z55" i="4"/>
  <c r="Z51" i="4"/>
  <c r="Z47" i="4"/>
  <c r="Z43" i="4"/>
  <c r="Z39" i="4"/>
  <c r="Z35" i="4"/>
  <c r="Z31" i="4"/>
  <c r="Z27" i="4"/>
  <c r="Z23" i="4"/>
  <c r="Z19" i="4"/>
  <c r="Z15" i="4"/>
  <c r="Z11" i="4"/>
  <c r="AC15" i="4"/>
  <c r="W46" i="4"/>
  <c r="W95" i="4"/>
  <c r="Z102" i="4"/>
  <c r="Z86" i="4"/>
  <c r="Z70" i="4"/>
  <c r="Z54" i="4"/>
  <c r="Z38" i="4"/>
  <c r="Z30" i="4"/>
  <c r="Z22" i="4"/>
  <c r="Z14" i="4"/>
  <c r="Z66" i="4"/>
  <c r="Z36" i="4"/>
  <c r="Z20" i="4"/>
  <c r="Z12" i="4"/>
  <c r="W54" i="4"/>
  <c r="Z90" i="4"/>
  <c r="Z58" i="4"/>
  <c r="Z32" i="4"/>
  <c r="Z16" i="4"/>
  <c r="AC9" i="4"/>
  <c r="AA8" i="4" s="1"/>
  <c r="Z98" i="4"/>
  <c r="Z82" i="4"/>
  <c r="Z50" i="4"/>
  <c r="Z28" i="4"/>
  <c r="Z106" i="4"/>
  <c r="Z74" i="4"/>
  <c r="Z42" i="4"/>
  <c r="Z24" i="4"/>
  <c r="W31" i="4"/>
  <c r="Z94" i="4"/>
  <c r="Z78" i="4"/>
  <c r="Z62" i="4"/>
  <c r="Z46" i="4"/>
  <c r="Z34" i="4"/>
  <c r="Z26" i="4"/>
  <c r="Z18" i="4"/>
  <c r="Z10" i="4"/>
  <c r="X36" i="4" l="1"/>
  <c r="X34" i="4" s="1"/>
  <c r="Y10" i="4"/>
  <c r="V8" i="4" s="1"/>
  <c r="S8" i="4" s="1"/>
  <c r="Q10" i="4"/>
  <c r="AA20" i="4"/>
  <c r="AA94" i="4"/>
  <c r="AA34" i="4"/>
  <c r="AA57" i="4"/>
  <c r="AA76" i="4"/>
  <c r="AA73" i="4"/>
  <c r="AA17" i="4"/>
  <c r="AA9" i="4"/>
  <c r="AA103" i="4"/>
  <c r="AA72" i="4"/>
  <c r="AA22" i="4"/>
  <c r="AA64" i="4"/>
  <c r="AA66" i="4"/>
  <c r="AA35" i="4"/>
  <c r="AA97" i="4"/>
  <c r="AA52" i="4"/>
  <c r="AA24" i="4"/>
  <c r="AA54" i="4"/>
  <c r="AA92" i="4"/>
  <c r="AA13" i="4"/>
  <c r="AA104" i="4"/>
  <c r="AA18" i="4"/>
  <c r="AA38" i="4"/>
  <c r="AA42" i="4"/>
  <c r="AA83" i="4"/>
  <c r="AA77" i="4"/>
  <c r="AA32" i="4"/>
  <c r="AA79" i="4"/>
  <c r="AA55" i="4"/>
  <c r="AA88" i="4"/>
  <c r="AA26" i="4"/>
  <c r="AA63" i="4"/>
  <c r="AA61" i="4"/>
  <c r="AA71" i="4"/>
  <c r="AA84" i="4"/>
  <c r="AA29" i="4"/>
  <c r="AA59" i="4"/>
  <c r="AA99" i="4"/>
  <c r="AA45" i="4"/>
  <c r="AA11" i="4"/>
  <c r="AA21" i="4"/>
  <c r="AA19" i="4"/>
  <c r="AA46" i="4"/>
  <c r="AA89" i="4"/>
  <c r="AA98" i="4"/>
  <c r="AA37" i="4"/>
  <c r="AA96" i="4"/>
  <c r="AA67" i="4"/>
  <c r="AA58" i="4"/>
  <c r="AA49" i="4"/>
  <c r="AA62" i="4"/>
  <c r="AA87" i="4"/>
  <c r="AA50" i="4"/>
  <c r="AA14" i="4"/>
  <c r="AA16" i="4"/>
  <c r="AA48" i="4"/>
  <c r="AA10" i="4"/>
  <c r="AA47" i="4"/>
  <c r="AA101" i="4"/>
  <c r="AA12" i="4"/>
  <c r="AA81" i="4"/>
  <c r="AA33" i="4"/>
  <c r="AA39" i="4"/>
  <c r="AA30" i="4"/>
  <c r="AA40" i="4"/>
  <c r="AA51" i="4"/>
  <c r="AA70" i="4"/>
  <c r="AA91" i="4"/>
  <c r="AA15" i="4"/>
  <c r="AA105" i="4"/>
  <c r="AA53" i="4"/>
  <c r="AA31" i="4"/>
  <c r="AA82" i="4"/>
  <c r="AA36" i="4"/>
  <c r="AA41" i="4"/>
  <c r="AA44" i="4"/>
  <c r="AA68" i="4"/>
  <c r="AA28" i="4"/>
  <c r="AA43" i="4"/>
  <c r="AA56" i="4"/>
  <c r="AA69" i="4"/>
  <c r="AA80" i="4"/>
  <c r="AA23" i="4"/>
  <c r="AA78" i="4"/>
  <c r="AA65" i="4"/>
  <c r="AA95" i="4"/>
  <c r="AA60" i="4"/>
  <c r="AA85" i="4"/>
  <c r="AA86" i="4"/>
  <c r="AA27" i="4"/>
  <c r="AA93" i="4"/>
  <c r="AA107" i="4"/>
  <c r="AA100" i="4"/>
  <c r="AA75" i="4"/>
  <c r="AA108" i="4"/>
  <c r="AA102" i="4"/>
  <c r="AA25" i="4"/>
  <c r="AA74" i="4"/>
  <c r="AA90" i="4"/>
  <c r="AA106" i="4"/>
  <c r="J5" i="4"/>
  <c r="I5" i="1"/>
  <c r="F16" i="5"/>
  <c r="N8" i="6"/>
  <c r="N9" i="6"/>
  <c r="S28" i="6"/>
  <c r="N5" i="6"/>
  <c r="S9" i="6"/>
  <c r="S20" i="6"/>
  <c r="N7" i="6"/>
  <c r="S8" i="6"/>
  <c r="S26" i="6"/>
  <c r="K26" i="6" s="1"/>
  <c r="S29" i="6"/>
  <c r="N6" i="6"/>
  <c r="N8" i="4"/>
  <c r="AC19" i="4"/>
  <c r="X15" i="4" l="1"/>
  <c r="X21" i="4" s="1"/>
  <c r="Q11" i="4"/>
  <c r="V9" i="4"/>
  <c r="S9" i="4" s="1"/>
  <c r="AC16" i="4"/>
  <c r="AC25" i="4"/>
  <c r="AC22" i="4" s="1" a="1"/>
  <c r="AC22" i="4" s="1"/>
  <c r="AC28" i="4" s="1"/>
  <c r="V43" i="4"/>
  <c r="N43" i="4" s="1"/>
  <c r="V101" i="4"/>
  <c r="N101" i="4" s="1"/>
  <c r="V19" i="4"/>
  <c r="N19" i="4" s="1"/>
  <c r="V76" i="4"/>
  <c r="N76" i="4" s="1"/>
  <c r="V46" i="4"/>
  <c r="N46" i="4" s="1"/>
  <c r="V98" i="4"/>
  <c r="N98" i="4" s="1"/>
  <c r="V73" i="4"/>
  <c r="N73" i="4" s="1"/>
  <c r="V90" i="4"/>
  <c r="N90" i="4" s="1"/>
  <c r="V78" i="4"/>
  <c r="N78" i="4" s="1"/>
  <c r="V80" i="4"/>
  <c r="N80" i="4" s="1"/>
  <c r="V56" i="4"/>
  <c r="N56" i="4" s="1"/>
  <c r="V106" i="4"/>
  <c r="N106" i="4" s="1"/>
  <c r="V49" i="4"/>
  <c r="N49" i="4" s="1"/>
  <c r="V13" i="4"/>
  <c r="V58" i="4"/>
  <c r="N58" i="4" s="1"/>
  <c r="V10" i="4"/>
  <c r="V107" i="4"/>
  <c r="N107" i="4" s="1"/>
  <c r="V39" i="4"/>
  <c r="N39" i="4" s="1"/>
  <c r="V33" i="4"/>
  <c r="N33" i="4" s="1"/>
  <c r="V81" i="4"/>
  <c r="N81" i="4" s="1"/>
  <c r="V12" i="4"/>
  <c r="V57" i="4"/>
  <c r="N57" i="4" s="1"/>
  <c r="V71" i="4"/>
  <c r="N71" i="4" s="1"/>
  <c r="V28" i="4"/>
  <c r="N28" i="4" s="1"/>
  <c r="V26" i="4"/>
  <c r="N26" i="4" s="1"/>
  <c r="V104" i="4"/>
  <c r="N104" i="4" s="1"/>
  <c r="V70" i="4"/>
  <c r="N70" i="4" s="1"/>
  <c r="V67" i="4"/>
  <c r="N67" i="4" s="1"/>
  <c r="V59" i="4"/>
  <c r="N59" i="4" s="1"/>
  <c r="V92" i="4"/>
  <c r="N92" i="4" s="1"/>
  <c r="V103" i="4"/>
  <c r="N103" i="4" s="1"/>
  <c r="V96" i="4"/>
  <c r="N96" i="4" s="1"/>
  <c r="V29" i="4"/>
  <c r="N29" i="4" s="1"/>
  <c r="V54" i="4"/>
  <c r="N54" i="4" s="1"/>
  <c r="V83" i="4"/>
  <c r="N83" i="4" s="1"/>
  <c r="V34" i="4"/>
  <c r="N34" i="4" s="1"/>
  <c r="V93" i="4"/>
  <c r="N93" i="4" s="1"/>
  <c r="V51" i="4"/>
  <c r="N51" i="4" s="1"/>
  <c r="V27" i="4"/>
  <c r="N27" i="4" s="1"/>
  <c r="V40" i="4"/>
  <c r="N40" i="4" s="1"/>
  <c r="V86" i="4"/>
  <c r="N86" i="4" s="1"/>
  <c r="V44" i="4"/>
  <c r="N44" i="4" s="1"/>
  <c r="V41" i="4"/>
  <c r="N41" i="4" s="1"/>
  <c r="V65" i="4"/>
  <c r="N65" i="4" s="1"/>
  <c r="V23" i="4"/>
  <c r="N23" i="4" s="1"/>
  <c r="V69" i="4"/>
  <c r="N69" i="4" s="1"/>
  <c r="V30" i="4"/>
  <c r="N30" i="4" s="1"/>
  <c r="V72" i="4"/>
  <c r="N72" i="4" s="1"/>
  <c r="V99" i="4"/>
  <c r="N99" i="4" s="1"/>
  <c r="V20" i="4"/>
  <c r="N20" i="4" s="1"/>
  <c r="V88" i="4"/>
  <c r="N88" i="4" s="1"/>
  <c r="V60" i="4"/>
  <c r="N60" i="4" s="1"/>
  <c r="V95" i="4"/>
  <c r="N95" i="4" s="1"/>
  <c r="V17" i="4"/>
  <c r="N17" i="4" s="1"/>
  <c r="V37" i="4"/>
  <c r="N37" i="4" s="1"/>
  <c r="V32" i="4"/>
  <c r="N32" i="4" s="1"/>
  <c r="V16" i="4"/>
  <c r="N16" i="4" s="1"/>
  <c r="V77" i="4"/>
  <c r="N77" i="4" s="1"/>
  <c r="V68" i="4"/>
  <c r="N68" i="4" s="1"/>
  <c r="V84" i="4"/>
  <c r="N84" i="4" s="1"/>
  <c r="V31" i="4"/>
  <c r="N31" i="4" s="1"/>
  <c r="V87" i="4"/>
  <c r="N87" i="4" s="1"/>
  <c r="V94" i="4"/>
  <c r="N94" i="4" s="1"/>
  <c r="V97" i="4"/>
  <c r="N97" i="4" s="1"/>
  <c r="V102" i="4"/>
  <c r="N102" i="4" s="1"/>
  <c r="V47" i="4"/>
  <c r="N47" i="4" s="1"/>
  <c r="V52" i="4"/>
  <c r="N52" i="4" s="1"/>
  <c r="V82" i="4"/>
  <c r="N82" i="4" s="1"/>
  <c r="V36" i="4"/>
  <c r="N36" i="4" s="1"/>
  <c r="V45" i="4"/>
  <c r="N45" i="4" s="1"/>
  <c r="V14" i="4"/>
  <c r="V108" i="4"/>
  <c r="N108" i="4" s="1"/>
  <c r="V55" i="4"/>
  <c r="N55" i="4" s="1"/>
  <c r="V22" i="4"/>
  <c r="N22" i="4" s="1"/>
  <c r="V50" i="4"/>
  <c r="N50" i="4" s="1"/>
  <c r="V48" i="4"/>
  <c r="N48" i="4" s="1"/>
  <c r="V35" i="4"/>
  <c r="N35" i="4" s="1"/>
  <c r="V62" i="4"/>
  <c r="N62" i="4" s="1"/>
  <c r="V61" i="4"/>
  <c r="N61" i="4" s="1"/>
  <c r="V11" i="4"/>
  <c r="V74" i="4"/>
  <c r="N74" i="4" s="1"/>
  <c r="V75" i="4"/>
  <c r="N75" i="4" s="1"/>
  <c r="V66" i="4"/>
  <c r="N66" i="4" s="1"/>
  <c r="V89" i="4"/>
  <c r="N89" i="4" s="1"/>
  <c r="V15" i="4"/>
  <c r="N15" i="4" s="1"/>
  <c r="V91" i="4"/>
  <c r="N91" i="4" s="1"/>
  <c r="V105" i="4"/>
  <c r="N105" i="4" s="1"/>
  <c r="V63" i="4"/>
  <c r="N63" i="4" s="1"/>
  <c r="V64" i="4"/>
  <c r="N64" i="4" s="1"/>
  <c r="V53" i="4"/>
  <c r="N53" i="4" s="1"/>
  <c r="V21" i="4"/>
  <c r="N21" i="4" s="1"/>
  <c r="V85" i="4"/>
  <c r="N85" i="4" s="1"/>
  <c r="V42" i="4"/>
  <c r="N42" i="4" s="1"/>
  <c r="V38" i="4"/>
  <c r="N38" i="4" s="1"/>
  <c r="V25" i="4"/>
  <c r="N25" i="4" s="1"/>
  <c r="V100" i="4"/>
  <c r="N100" i="4" s="1"/>
  <c r="V79" i="4"/>
  <c r="N79" i="4" s="1"/>
  <c r="V24" i="4"/>
  <c r="N24" i="4" s="1"/>
  <c r="V18" i="4"/>
  <c r="N18" i="4" s="1"/>
  <c r="K12" i="4"/>
  <c r="O8" i="4"/>
  <c r="K15" i="4"/>
  <c r="V15" i="6" s="1"/>
  <c r="S15" i="6" s="1"/>
  <c r="K15" i="6" s="1"/>
  <c r="L15" i="6" s="1"/>
  <c r="C21" i="4"/>
  <c r="N13" i="4" l="1"/>
  <c r="S13" i="4"/>
  <c r="N14" i="4"/>
  <c r="S14" i="4"/>
  <c r="N12" i="4"/>
  <c r="S12" i="4"/>
  <c r="N11" i="4"/>
  <c r="S11" i="4"/>
  <c r="N10" i="4"/>
  <c r="S10" i="4"/>
  <c r="X24" i="4"/>
  <c r="X29" i="4" s="1"/>
  <c r="X31" i="4"/>
  <c r="X27" i="4"/>
  <c r="Q12" i="4"/>
  <c r="N9" i="4"/>
  <c r="K16" i="4" s="1"/>
  <c r="AC30" i="4"/>
  <c r="X26" i="4"/>
  <c r="K24" i="4"/>
  <c r="V24" i="6" s="1"/>
  <c r="V12" i="6"/>
  <c r="S12" i="6" s="1"/>
  <c r="L16" i="4" l="1"/>
  <c r="K10" i="4"/>
  <c r="K18" i="4"/>
  <c r="K17" i="4" s="1"/>
  <c r="K25" i="4" s="1"/>
  <c r="V25" i="6" s="1"/>
  <c r="S25" i="6" s="1"/>
  <c r="K25" i="6" s="1"/>
  <c r="K11" i="4"/>
  <c r="K23" i="4" s="1"/>
  <c r="V23" i="6" s="1"/>
  <c r="K14" i="4"/>
  <c r="V14" i="6" s="1"/>
  <c r="S14" i="6" s="1"/>
  <c r="K14" i="6" s="1"/>
  <c r="K12" i="6"/>
  <c r="P10" i="5" s="1"/>
  <c r="K13" i="4"/>
  <c r="V13" i="6" s="1"/>
  <c r="S13" i="6" s="1"/>
  <c r="K13" i="6" s="1"/>
  <c r="V16" i="6"/>
  <c r="S16" i="6" s="1"/>
  <c r="K16" i="6" s="1"/>
  <c r="L16" i="6" s="1"/>
  <c r="Q13" i="4"/>
  <c r="O9" i="4"/>
  <c r="O10" i="4" s="1"/>
  <c r="O11" i="4" s="1"/>
  <c r="O12" i="4" s="1"/>
  <c r="O13" i="4" s="1"/>
  <c r="O14" i="4" s="1"/>
  <c r="O15" i="4" s="1"/>
  <c r="O16" i="4" s="1"/>
  <c r="O17" i="4" s="1"/>
  <c r="O18" i="4" s="1"/>
  <c r="O19" i="4" s="1"/>
  <c r="O20" i="4" s="1"/>
  <c r="O21" i="4" s="1"/>
  <c r="O22" i="4" s="1"/>
  <c r="O23" i="4" s="1"/>
  <c r="O24" i="4" s="1"/>
  <c r="O25" i="4" s="1"/>
  <c r="O26" i="4" s="1"/>
  <c r="O27" i="4" s="1"/>
  <c r="O28" i="4" s="1"/>
  <c r="O29" i="4" s="1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O47" i="4" s="1"/>
  <c r="O48" i="4" s="1"/>
  <c r="O49" i="4" s="1"/>
  <c r="O50" i="4" s="1"/>
  <c r="O51" i="4" s="1"/>
  <c r="O52" i="4" s="1"/>
  <c r="O53" i="4" s="1"/>
  <c r="O54" i="4" s="1"/>
  <c r="O55" i="4" s="1"/>
  <c r="O56" i="4" s="1"/>
  <c r="O57" i="4" s="1"/>
  <c r="O58" i="4" s="1"/>
  <c r="O59" i="4" s="1"/>
  <c r="O60" i="4" s="1"/>
  <c r="O61" i="4" s="1"/>
  <c r="O62" i="4" s="1"/>
  <c r="O63" i="4" s="1"/>
  <c r="O64" i="4" s="1"/>
  <c r="O65" i="4" s="1"/>
  <c r="O66" i="4" s="1"/>
  <c r="O67" i="4" s="1"/>
  <c r="O68" i="4" s="1"/>
  <c r="O69" i="4" s="1"/>
  <c r="O70" i="4" s="1"/>
  <c r="O71" i="4" s="1"/>
  <c r="O72" i="4" s="1"/>
  <c r="O73" i="4" s="1"/>
  <c r="O74" i="4" s="1"/>
  <c r="O75" i="4" s="1"/>
  <c r="O76" i="4" s="1"/>
  <c r="O77" i="4" s="1"/>
  <c r="O78" i="4" s="1"/>
  <c r="O79" i="4" s="1"/>
  <c r="O80" i="4" s="1"/>
  <c r="O81" i="4" s="1"/>
  <c r="O82" i="4" s="1"/>
  <c r="O83" i="4" s="1"/>
  <c r="O84" i="4" s="1"/>
  <c r="O85" i="4" s="1"/>
  <c r="O86" i="4" s="1"/>
  <c r="O87" i="4" s="1"/>
  <c r="O88" i="4" s="1"/>
  <c r="O89" i="4" s="1"/>
  <c r="O90" i="4" s="1"/>
  <c r="O91" i="4" s="1"/>
  <c r="O92" i="4" s="1"/>
  <c r="O93" i="4" s="1"/>
  <c r="O94" i="4" s="1"/>
  <c r="O95" i="4" s="1"/>
  <c r="O96" i="4" s="1"/>
  <c r="O97" i="4" s="1"/>
  <c r="O98" i="4" s="1"/>
  <c r="O99" i="4" s="1"/>
  <c r="O100" i="4" s="1"/>
  <c r="O101" i="4" s="1"/>
  <c r="O102" i="4" s="1"/>
  <c r="O103" i="4" s="1"/>
  <c r="O104" i="4" s="1"/>
  <c r="O105" i="4" s="1"/>
  <c r="O106" i="4" s="1"/>
  <c r="O107" i="4" s="1"/>
  <c r="O108" i="4" s="1"/>
  <c r="S24" i="6"/>
  <c r="K24" i="6" s="1"/>
  <c r="V18" i="6" l="1"/>
  <c r="S18" i="6" s="1"/>
  <c r="K18" i="6" s="1"/>
  <c r="V17" i="6"/>
  <c r="S17" i="6" s="1"/>
  <c r="K17" i="6" s="1"/>
  <c r="V11" i="6"/>
  <c r="S11" i="6" s="1"/>
  <c r="K11" i="6" s="1"/>
  <c r="S23" i="6" s="1"/>
  <c r="K23" i="6" s="1"/>
  <c r="Q14" i="4"/>
  <c r="Q15" i="4" l="1"/>
  <c r="Q16" i="4" l="1"/>
  <c r="Q17" i="4" l="1"/>
  <c r="Q18" i="4" l="1"/>
  <c r="Q19" i="4" l="1"/>
  <c r="Q20" i="4" l="1"/>
  <c r="Q21" i="4" l="1"/>
  <c r="Q22" i="4" l="1"/>
  <c r="Q23" i="4" l="1"/>
  <c r="Q24" i="4" s="1"/>
  <c r="Q25" i="4" s="1"/>
  <c r="Q26" i="4" s="1"/>
  <c r="Q27" i="4" s="1"/>
  <c r="Q28" i="4" s="1"/>
  <c r="Q29" i="4" s="1"/>
  <c r="Q30" i="4" s="1"/>
  <c r="Q31" i="4" s="1"/>
  <c r="Q32" i="4" s="1"/>
  <c r="Q33" i="4" s="1"/>
  <c r="Q34" i="4" s="1"/>
  <c r="Q35" i="4" s="1"/>
  <c r="Q36" i="4" s="1"/>
  <c r="Q37" i="4" s="1"/>
  <c r="Q38" i="4" s="1"/>
  <c r="Q39" i="4" s="1"/>
  <c r="Q40" i="4" s="1"/>
  <c r="Q41" i="4" s="1"/>
  <c r="Q42" i="4" s="1"/>
  <c r="Q43" i="4" s="1"/>
  <c r="Q44" i="4" s="1"/>
  <c r="Q45" i="4" s="1"/>
  <c r="Q46" i="4" s="1"/>
  <c r="Q47" i="4" s="1"/>
  <c r="Q48" i="4" s="1"/>
  <c r="Q49" i="4" s="1"/>
  <c r="Q50" i="4" s="1"/>
  <c r="Q51" i="4" s="1"/>
  <c r="Q52" i="4" s="1"/>
  <c r="Q53" i="4" s="1"/>
  <c r="Q54" i="4" s="1"/>
  <c r="Q55" i="4" s="1"/>
  <c r="Q56" i="4" s="1"/>
  <c r="Q57" i="4" s="1"/>
  <c r="Q58" i="4" s="1"/>
  <c r="Q59" i="4" s="1"/>
  <c r="Q60" i="4" s="1"/>
  <c r="Q61" i="4" s="1"/>
  <c r="Q62" i="4" s="1"/>
  <c r="Q63" i="4" s="1"/>
  <c r="Q64" i="4" s="1"/>
  <c r="Q65" i="4" s="1"/>
  <c r="Q66" i="4" s="1"/>
  <c r="Q67" i="4" s="1"/>
  <c r="Q68" i="4" s="1"/>
  <c r="Q69" i="4" s="1"/>
  <c r="Q70" i="4" s="1"/>
  <c r="Q71" i="4" s="1"/>
  <c r="Q72" i="4" s="1"/>
  <c r="Q73" i="4" s="1"/>
  <c r="Q74" i="4" s="1"/>
  <c r="Q75" i="4" s="1"/>
  <c r="Q76" i="4" s="1"/>
  <c r="Q77" i="4" s="1"/>
  <c r="Q78" i="4" s="1"/>
  <c r="Q79" i="4" s="1"/>
  <c r="Q80" i="4" s="1"/>
  <c r="Q81" i="4" s="1"/>
  <c r="Q82" i="4" s="1"/>
  <c r="Q83" i="4" s="1"/>
  <c r="Q84" i="4" s="1"/>
  <c r="Q85" i="4" s="1"/>
  <c r="Q86" i="4" s="1"/>
  <c r="Q87" i="4" s="1"/>
  <c r="Q88" i="4" s="1"/>
  <c r="Q89" i="4" s="1"/>
  <c r="Q90" i="4" s="1"/>
  <c r="Q91" i="4" s="1"/>
  <c r="Q92" i="4" s="1"/>
  <c r="Q93" i="4" s="1"/>
  <c r="Q94" i="4" s="1"/>
  <c r="Q95" i="4" s="1"/>
  <c r="Q96" i="4" s="1"/>
  <c r="Q97" i="4" s="1"/>
  <c r="Q98" i="4" s="1"/>
  <c r="Q99" i="4" s="1"/>
  <c r="Q100" i="4" s="1"/>
  <c r="Q101" i="4" s="1"/>
  <c r="Q102" i="4" s="1"/>
  <c r="Q103" i="4" s="1"/>
  <c r="Q104" i="4" s="1"/>
  <c r="Q105" i="4" s="1"/>
  <c r="Q106" i="4" s="1"/>
  <c r="Q107" i="4" s="1"/>
  <c r="Q108" i="4" s="1"/>
  <c r="L10" i="4" l="1"/>
  <c r="K22" i="4"/>
  <c r="V22" i="6" s="1"/>
  <c r="S22" i="6" s="1"/>
  <c r="K22" i="6" s="1"/>
  <c r="K21" i="4"/>
  <c r="V10" i="6"/>
  <c r="S10" i="6" s="1"/>
  <c r="K10" i="6" s="1"/>
  <c r="L10" i="6" s="1"/>
  <c r="V21" i="6" l="1"/>
  <c r="S21" i="6" s="1"/>
  <c r="K21" i="6" s="1"/>
  <c r="K27" i="6" s="1"/>
  <c r="K27" i="4"/>
  <c r="V27" i="6" s="1"/>
  <c r="S27" i="6" s="1"/>
  <c r="K19" i="4" l="1"/>
  <c r="V19" i="6" s="1"/>
  <c r="S19" i="6" s="1"/>
  <c r="K19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<sst xmlns="http://schemas.openxmlformats.org/spreadsheetml/2006/main" count="440" uniqueCount="146">
  <si>
    <t>Descripción de datos necesarios</t>
  </si>
  <si>
    <t>Cantidad de servidores</t>
  </si>
  <si>
    <t>c</t>
  </si>
  <si>
    <t>Entrada</t>
  </si>
  <si>
    <t>Máximo espacio de espera*</t>
  </si>
  <si>
    <t>Población de clientes*</t>
  </si>
  <si>
    <t>Costo de cliente rechazado</t>
  </si>
  <si>
    <t>Costo unitario de espera</t>
  </si>
  <si>
    <t>Unidad de tiempo</t>
  </si>
  <si>
    <t>año</t>
  </si>
  <si>
    <t>mes</t>
  </si>
  <si>
    <t>sem</t>
  </si>
  <si>
    <t>dia</t>
  </si>
  <si>
    <t>hora</t>
  </si>
  <si>
    <t>seg</t>
  </si>
  <si>
    <t>min</t>
  </si>
  <si>
    <t>μ</t>
  </si>
  <si>
    <t>λ</t>
  </si>
  <si>
    <t>t</t>
  </si>
  <si>
    <t>Uso del sistema</t>
  </si>
  <si>
    <t>Media de clientes en el sistema</t>
  </si>
  <si>
    <t>L</t>
  </si>
  <si>
    <t>Media de clientes en la cola</t>
  </si>
  <si>
    <t>Lq</t>
  </si>
  <si>
    <t>Tiempo medio cliente en sistema</t>
  </si>
  <si>
    <t>W</t>
  </si>
  <si>
    <t>Tiempo medio cliente en cola</t>
  </si>
  <si>
    <t>Wq</t>
  </si>
  <si>
    <t>Probabilidad de servidor(es) libre(s)</t>
  </si>
  <si>
    <t>Po</t>
  </si>
  <si>
    <t>Probabilidad de sistema ocupado</t>
  </si>
  <si>
    <t xml:space="preserve">Pb o Pw </t>
  </si>
  <si>
    <t>COSTOS:</t>
  </si>
  <si>
    <t>n</t>
  </si>
  <si>
    <t>P(n)</t>
  </si>
  <si>
    <t>P(n) ACU</t>
  </si>
  <si>
    <t>U</t>
  </si>
  <si>
    <t>auxiliar</t>
  </si>
  <si>
    <t>Factor de tráfico</t>
  </si>
  <si>
    <t>Factor de utilización</t>
  </si>
  <si>
    <t>ρ = λ/c*μ</t>
  </si>
  <si>
    <t>γ = λ/μ</t>
  </si>
  <si>
    <t>Calculos de Lq</t>
  </si>
  <si>
    <t>MMs</t>
  </si>
  <si>
    <t>ParaU</t>
  </si>
  <si>
    <t>Csb</t>
  </si>
  <si>
    <t>Csw</t>
  </si>
  <si>
    <t>Ccb</t>
  </si>
  <si>
    <t>Ccw</t>
  </si>
  <si>
    <t>Tabla de resultados</t>
  </si>
  <si>
    <t>Ccd</t>
  </si>
  <si>
    <t>Ck</t>
  </si>
  <si>
    <t>Ct</t>
  </si>
  <si>
    <t>SERVIDORES</t>
  </si>
  <si>
    <t>Cs</t>
  </si>
  <si>
    <t>Cc</t>
  </si>
  <si>
    <t>auxiliar2</t>
  </si>
  <si>
    <t>auxiliar1</t>
  </si>
  <si>
    <t>ParaLq</t>
  </si>
  <si>
    <t>Descripción de datos ingresados</t>
  </si>
  <si>
    <t>INGRESO DE DATOS PARA TODOS LOS MODELOS</t>
  </si>
  <si>
    <t>análisis de sensibilidad</t>
  </si>
  <si>
    <t>ayuda</t>
  </si>
  <si>
    <t>documentación</t>
  </si>
  <si>
    <t>Ir a M/M/c//K</t>
  </si>
  <si>
    <t>ir a M/M/c/L</t>
  </si>
  <si>
    <t>Ir a M/M/c</t>
  </si>
  <si>
    <t>ir a M/M/c//K</t>
  </si>
  <si>
    <t>s</t>
  </si>
  <si>
    <t>Numero de servidores</t>
  </si>
  <si>
    <t>Desviación estándar</t>
  </si>
  <si>
    <t>1/μ</t>
  </si>
  <si>
    <t>Probabilidad de servidor libre</t>
  </si>
  <si>
    <t>Largo del sistema</t>
  </si>
  <si>
    <t>Largo de la cola</t>
  </si>
  <si>
    <t>Tiempo de espera en el sistema</t>
  </si>
  <si>
    <t>Tiempo de espera en la cola</t>
  </si>
  <si>
    <t>M/G/1</t>
  </si>
  <si>
    <t>NUEVO ENFOQUE MM1K</t>
  </si>
  <si>
    <t>(1-lmb)/(1-lmb^(k+1))</t>
  </si>
  <si>
    <t>k28&gt;lmb/micr</t>
  </si>
  <si>
    <t>K</t>
  </si>
  <si>
    <t>LR</t>
  </si>
  <si>
    <t>E11&gt;K</t>
  </si>
  <si>
    <t>AH9&gt;C</t>
  </si>
  <si>
    <t>L=</t>
  </si>
  <si>
    <t>ro/(1-ro)</t>
  </si>
  <si>
    <t>Lq=</t>
  </si>
  <si>
    <t>W=</t>
  </si>
  <si>
    <t>lmbd media</t>
  </si>
  <si>
    <t>peka</t>
  </si>
  <si>
    <t>Wq=</t>
  </si>
  <si>
    <t>NUEVO ENFOQUE MMsK</t>
  </si>
  <si>
    <t>Cn</t>
  </si>
  <si>
    <t>lamb/mic)^s</t>
  </si>
  <si>
    <t>s!</t>
  </si>
  <si>
    <t>(1)arriba</t>
  </si>
  <si>
    <t>(1)abajo</t>
  </si>
  <si>
    <t>Corchete2</t>
  </si>
  <si>
    <t>Todo Lq</t>
  </si>
  <si>
    <t>peka2</t>
  </si>
  <si>
    <t>Cso</t>
  </si>
  <si>
    <t>Csl</t>
  </si>
  <si>
    <t>Cco</t>
  </si>
  <si>
    <t>Ce</t>
  </si>
  <si>
    <t>MODELO INGRESADO&gt;&gt;&gt;</t>
  </si>
  <si>
    <t>MODELO CALCULADO&gt;&gt;&gt;</t>
  </si>
  <si>
    <t>Pd</t>
  </si>
  <si>
    <t>Probabilidad de cliente rechazado</t>
  </si>
  <si>
    <t>Ld</t>
  </si>
  <si>
    <t>Unidad de tiempo (seleccione)</t>
  </si>
  <si>
    <t>&gt;&gt;&gt;&gt; HOJA MMc &lt;&lt;&lt;&lt;</t>
  </si>
  <si>
    <t>Resumen de probabilidades</t>
  </si>
  <si>
    <t>Hoja</t>
  </si>
  <si>
    <t>MMc (Uso interno)</t>
  </si>
  <si>
    <t>HOJA</t>
  </si>
  <si>
    <t>Códigos de Hoja</t>
  </si>
  <si>
    <t>&gt;&gt;&gt;&gt; HOJA MMcK &lt;&lt;&lt;&lt;</t>
  </si>
  <si>
    <t>&gt;&gt;&gt;&gt; HOJA MMcL &lt;&lt;&lt;&lt;</t>
  </si>
  <si>
    <t>Valor</t>
  </si>
  <si>
    <t>MMS (uso interno)</t>
  </si>
  <si>
    <t>Arriba</t>
  </si>
  <si>
    <t>C Total</t>
  </si>
  <si>
    <t>ir a M/G/1</t>
  </si>
  <si>
    <t>Hoja de DATOS</t>
  </si>
  <si>
    <t>Descripción de datos ingresados en Hoja "Datos"</t>
  </si>
  <si>
    <t>$</t>
  </si>
  <si>
    <t>&gt;&gt;&gt;&gt; HOJA MG1 &lt;&lt;&lt;&lt;</t>
  </si>
  <si>
    <t>ANALISIS DE CAPACIDAD</t>
  </si>
  <si>
    <t>Volver a "DATOS"</t>
  </si>
  <si>
    <t>Ir a M/M/c/L</t>
  </si>
  <si>
    <t>ir a M/M/c</t>
  </si>
  <si>
    <t>Ir a M/G/1</t>
  </si>
  <si>
    <t>Población de clientes  (M para ∞)</t>
  </si>
  <si>
    <t>Ir a DATOS</t>
  </si>
  <si>
    <t>Hoja de Ayuda -- ANALISIS DE COLAS - OPTIMIZA - VER. 20.1.0</t>
  </si>
  <si>
    <t>Hoja de Documentación -- ANALISIS DE COLAS - OPTIMIZA - VER. 20.1.0</t>
  </si>
  <si>
    <t>Ingreso de datos</t>
  </si>
  <si>
    <t>Descripcion gral. de hojas</t>
  </si>
  <si>
    <t>MG1</t>
  </si>
  <si>
    <t>Tabla probabilidades</t>
  </si>
  <si>
    <t>Análisis de capacidad</t>
  </si>
  <si>
    <t>Protección de hojas</t>
  </si>
  <si>
    <t>Datos de la versión</t>
  </si>
  <si>
    <r>
      <t xml:space="preserve">Máximo espacio de espera (M para </t>
    </r>
    <r>
      <rPr>
        <sz val="9"/>
        <color theme="1"/>
        <rFont val="Calibri"/>
        <family val="2"/>
      </rPr>
      <t>∞)</t>
    </r>
  </si>
  <si>
    <t>ANALISIS DE COLAS - OPTIMIZA - VER. 20.1.2 (2026)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</si>
</sst>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0"/>
    <numFmt numFmtId="165" formatCode="0.0000"/>
    <numFmt numFmtId="166" formatCode="0.000"/>
    <numFmt numFmtId="167" formatCode="0.0000%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0"/>
      <name val="Rockwell"/>
      <family val="1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Symbol"/>
      <family val="1"/>
      <charset val="2"/>
    </font>
    <font>
      <b/>
      <sz val="12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C000"/>
      <name val="Calibri"/>
      <family val="2"/>
      <scheme val="minor"/>
    </font>
    <font>
      <b/>
      <sz val="9"/>
      <color theme="1"/>
      <name val="Calibri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u/>
      <sz val="10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8"/>
      <color theme="1"/>
      <name val="Dubai"/>
      <family val="2"/>
    </font>
    <font>
      <b/>
      <u/>
      <sz val="8"/>
      <color theme="10"/>
      <name val="Dubai"/>
      <family val="2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u/>
      <sz val="10"/>
      <color theme="10"/>
      <name val="Dubai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9" tint="0.3999755851924192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000000"/>
      <name val="Segoe UI"/>
      <family val="2"/>
    </font>
    <font>
      <sz val="10"/>
      <color theme="0"/>
      <name val="Arial"/>
      <family val="2"/>
    </font>
    <font>
      <b/>
      <sz val="10"/>
      <name val="Symbol"/>
      <family val="1"/>
      <charset val="2"/>
    </font>
    <font>
      <b/>
      <u/>
      <sz val="8"/>
      <color theme="10"/>
      <name val="Calibri"/>
      <family val="2"/>
      <scheme val="minor"/>
    </font>
    <font>
      <b/>
      <u/>
      <sz val="9"/>
      <color theme="10"/>
      <name val="Calibri"/>
      <family val="2"/>
      <scheme val="minor"/>
    </font>
    <font>
      <sz val="9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19A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AE9E"/>
        <bgColor indexed="64"/>
      </patternFill>
    </fill>
    <fill>
      <patternFill patternType="solid">
        <fgColor rgb="FFEFC2B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9" borderId="0" applyNumberFormat="0" applyBorder="0" applyAlignment="0" applyProtection="0"/>
    <xf numFmtId="0" fontId="4" fillId="0" borderId="0" applyNumberFormat="0" applyFill="0" applyBorder="0" applyAlignment="0" applyProtection="0"/>
  </cellStyleXfs>
  <cellXfs count="462">
    <xf numFmtId="0" fontId="0" fillId="0" borderId="0" xfId="0"/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/>
    <xf numFmtId="0" fontId="1" fillId="0" borderId="2" xfId="0" applyFont="1" applyBorder="1"/>
    <xf numFmtId="164" fontId="0" fillId="0" borderId="0" xfId="0" applyNumberFormat="1"/>
    <xf numFmtId="165" fontId="0" fillId="0" borderId="0" xfId="0" applyNumberFormat="1"/>
    <xf numFmtId="0" fontId="4" fillId="0" borderId="0" xfId="2"/>
    <xf numFmtId="1" fontId="0" fillId="0" borderId="0" xfId="0" applyNumberFormat="1"/>
    <xf numFmtId="2" fontId="5" fillId="0" borderId="1" xfId="0" applyNumberFormat="1" applyFont="1" applyBorder="1" applyAlignment="1">
      <alignment horizontal="right"/>
    </xf>
    <xf numFmtId="165" fontId="0" fillId="0" borderId="17" xfId="0" applyNumberFormat="1" applyBorder="1"/>
    <xf numFmtId="0" fontId="0" fillId="0" borderId="18" xfId="0" applyBorder="1"/>
    <xf numFmtId="0" fontId="0" fillId="0" borderId="19" xfId="0" applyBorder="1"/>
    <xf numFmtId="164" fontId="0" fillId="0" borderId="23" xfId="0" applyNumberFormat="1" applyBorder="1"/>
    <xf numFmtId="165" fontId="0" fillId="0" borderId="24" xfId="0" applyNumberFormat="1" applyBorder="1"/>
    <xf numFmtId="165" fontId="0" fillId="0" borderId="21" xfId="0" applyNumberFormat="1" applyBorder="1"/>
    <xf numFmtId="165" fontId="0" fillId="0" borderId="22" xfId="0" applyNumberFormat="1" applyBorder="1"/>
    <xf numFmtId="0" fontId="7" fillId="0" borderId="0" xfId="0" applyFont="1"/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right"/>
      <protection locked="0"/>
    </xf>
    <xf numFmtId="0" fontId="8" fillId="0" borderId="0" xfId="0" applyFont="1" applyAlignment="1">
      <alignment horizontal="right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center"/>
    </xf>
    <xf numFmtId="0" fontId="11" fillId="0" borderId="0" xfId="0" applyFont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166" fontId="8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65" fontId="8" fillId="0" borderId="0" xfId="0" applyNumberFormat="1" applyFont="1" applyProtection="1">
      <protection locked="0"/>
    </xf>
    <xf numFmtId="0" fontId="8" fillId="18" borderId="0" xfId="0" applyFont="1" applyFill="1" applyProtection="1">
      <protection locked="0"/>
    </xf>
    <xf numFmtId="0" fontId="8" fillId="4" borderId="0" xfId="0" applyFont="1" applyFill="1" applyProtection="1">
      <protection locked="0"/>
    </xf>
    <xf numFmtId="0" fontId="9" fillId="4" borderId="0" xfId="0" applyFont="1" applyFill="1" applyAlignment="1" applyProtection="1">
      <alignment horizontal="center"/>
      <protection locked="0"/>
    </xf>
    <xf numFmtId="0" fontId="10" fillId="4" borderId="0" xfId="0" applyFont="1" applyFill="1" applyAlignment="1">
      <alignment horizontal="right"/>
    </xf>
    <xf numFmtId="0" fontId="9" fillId="6" borderId="0" xfId="0" applyFont="1" applyFill="1" applyAlignment="1" applyProtection="1">
      <alignment horizontal="center"/>
      <protection locked="0"/>
    </xf>
    <xf numFmtId="165" fontId="8" fillId="2" borderId="0" xfId="0" applyNumberFormat="1" applyFont="1" applyFill="1" applyProtection="1">
      <protection locked="0"/>
    </xf>
    <xf numFmtId="165" fontId="8" fillId="19" borderId="0" xfId="0" applyNumberFormat="1" applyFont="1" applyFill="1" applyProtection="1">
      <protection locked="0"/>
    </xf>
    <xf numFmtId="165" fontId="0" fillId="0" borderId="23" xfId="0" applyNumberFormat="1" applyBorder="1"/>
    <xf numFmtId="165" fontId="0" fillId="0" borderId="2" xfId="0" applyNumberFormat="1" applyBorder="1"/>
    <xf numFmtId="165" fontId="0" fillId="0" borderId="0" xfId="0" applyNumberFormat="1" applyAlignment="1">
      <alignment horizontal="center"/>
    </xf>
    <xf numFmtId="0" fontId="1" fillId="0" borderId="0" xfId="0" applyFont="1" applyAlignment="1">
      <alignment horizontal="right"/>
    </xf>
    <xf numFmtId="0" fontId="12" fillId="0" borderId="0" xfId="0" applyFont="1"/>
    <xf numFmtId="0" fontId="12" fillId="4" borderId="0" xfId="0" applyFont="1" applyFill="1"/>
    <xf numFmtId="0" fontId="13" fillId="0" borderId="0" xfId="0" applyFont="1" applyAlignment="1">
      <alignment horizontal="center"/>
    </xf>
    <xf numFmtId="0" fontId="13" fillId="0" borderId="0" xfId="0" applyFont="1"/>
    <xf numFmtId="0" fontId="12" fillId="4" borderId="4" xfId="0" applyFont="1" applyFill="1" applyBorder="1"/>
    <xf numFmtId="0" fontId="13" fillId="4" borderId="3" xfId="0" applyFont="1" applyFill="1" applyBorder="1" applyAlignment="1">
      <alignment horizontal="center"/>
    </xf>
    <xf numFmtId="0" fontId="15" fillId="4" borderId="3" xfId="0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16" fillId="0" borderId="0" xfId="0" applyFont="1"/>
    <xf numFmtId="0" fontId="18" fillId="0" borderId="0" xfId="0" applyFont="1"/>
    <xf numFmtId="164" fontId="16" fillId="0" borderId="0" xfId="0" applyNumberFormat="1" applyFont="1"/>
    <xf numFmtId="0" fontId="18" fillId="2" borderId="1" xfId="0" applyFont="1" applyFill="1" applyBorder="1"/>
    <xf numFmtId="0" fontId="16" fillId="2" borderId="0" xfId="0" applyFont="1" applyFill="1"/>
    <xf numFmtId="0" fontId="18" fillId="4" borderId="1" xfId="0" applyFont="1" applyFill="1" applyBorder="1"/>
    <xf numFmtId="0" fontId="16" fillId="4" borderId="0" xfId="0" applyFont="1" applyFill="1"/>
    <xf numFmtId="0" fontId="16" fillId="0" borderId="6" xfId="0" applyFont="1" applyBorder="1"/>
    <xf numFmtId="10" fontId="16" fillId="2" borderId="0" xfId="0" applyNumberFormat="1" applyFont="1" applyFill="1"/>
    <xf numFmtId="0" fontId="18" fillId="4" borderId="14" xfId="0" applyFont="1" applyFill="1" applyBorder="1"/>
    <xf numFmtId="0" fontId="18" fillId="4" borderId="15" xfId="0" applyFont="1" applyFill="1" applyBorder="1"/>
    <xf numFmtId="0" fontId="16" fillId="6" borderId="0" xfId="0" applyFont="1" applyFill="1"/>
    <xf numFmtId="2" fontId="16" fillId="7" borderId="7" xfId="0" applyNumberFormat="1" applyFont="1" applyFill="1" applyBorder="1"/>
    <xf numFmtId="0" fontId="16" fillId="4" borderId="9" xfId="0" applyFont="1" applyFill="1" applyBorder="1" applyAlignment="1">
      <alignment horizontal="left"/>
    </xf>
    <xf numFmtId="0" fontId="16" fillId="4" borderId="4" xfId="0" applyFont="1" applyFill="1" applyBorder="1" applyAlignment="1">
      <alignment horizontal="left"/>
    </xf>
    <xf numFmtId="0" fontId="16" fillId="4" borderId="3" xfId="0" applyFont="1" applyFill="1" applyBorder="1" applyAlignment="1">
      <alignment horizontal="left"/>
    </xf>
    <xf numFmtId="2" fontId="16" fillId="5" borderId="7" xfId="0" applyNumberFormat="1" applyFont="1" applyFill="1" applyBorder="1"/>
    <xf numFmtId="0" fontId="16" fillId="0" borderId="9" xfId="0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18" fillId="2" borderId="9" xfId="0" applyFont="1" applyFill="1" applyBorder="1" applyAlignment="1">
      <alignment horizontal="left"/>
    </xf>
    <xf numFmtId="0" fontId="18" fillId="2" borderId="4" xfId="0" applyFont="1" applyFill="1" applyBorder="1" applyAlignment="1">
      <alignment horizontal="left"/>
    </xf>
    <xf numFmtId="2" fontId="16" fillId="7" borderId="8" xfId="0" applyNumberFormat="1" applyFont="1" applyFill="1" applyBorder="1"/>
    <xf numFmtId="0" fontId="19" fillId="0" borderId="0" xfId="0" applyFont="1"/>
    <xf numFmtId="164" fontId="16" fillId="0" borderId="1" xfId="0" applyNumberFormat="1" applyFont="1" applyBorder="1"/>
    <xf numFmtId="0" fontId="18" fillId="0" borderId="9" xfId="0" applyFont="1" applyBorder="1"/>
    <xf numFmtId="0" fontId="16" fillId="0" borderId="1" xfId="0" applyFont="1" applyBorder="1" applyAlignment="1">
      <alignment horizontal="center"/>
    </xf>
    <xf numFmtId="0" fontId="16" fillId="4" borderId="4" xfId="0" applyFont="1" applyFill="1" applyBorder="1"/>
    <xf numFmtId="0" fontId="18" fillId="4" borderId="3" xfId="0" applyFont="1" applyFill="1" applyBorder="1" applyAlignment="1">
      <alignment horizontal="center"/>
    </xf>
    <xf numFmtId="164" fontId="16" fillId="0" borderId="1" xfId="0" applyNumberFormat="1" applyFont="1" applyBorder="1" applyAlignment="1">
      <alignment horizontal="center"/>
    </xf>
    <xf numFmtId="165" fontId="16" fillId="0" borderId="0" xfId="0" applyNumberFormat="1" applyFont="1"/>
    <xf numFmtId="0" fontId="19" fillId="4" borderId="3" xfId="0" applyFont="1" applyFill="1" applyBorder="1" applyAlignment="1">
      <alignment horizontal="center"/>
    </xf>
    <xf numFmtId="0" fontId="18" fillId="4" borderId="4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6" fillId="5" borderId="1" xfId="0" applyFont="1" applyFill="1" applyBorder="1"/>
    <xf numFmtId="0" fontId="18" fillId="5" borderId="1" xfId="0" applyFont="1" applyFill="1" applyBorder="1" applyAlignment="1">
      <alignment horizontal="right"/>
    </xf>
    <xf numFmtId="165" fontId="16" fillId="0" borderId="1" xfId="0" applyNumberFormat="1" applyFont="1" applyBorder="1"/>
    <xf numFmtId="0" fontId="18" fillId="4" borderId="0" xfId="0" applyFont="1" applyFill="1" applyAlignment="1">
      <alignment horizontal="center"/>
    </xf>
    <xf numFmtId="0" fontId="20" fillId="0" borderId="0" xfId="2" applyFont="1" applyFill="1"/>
    <xf numFmtId="0" fontId="18" fillId="0" borderId="0" xfId="0" applyFont="1" applyAlignment="1">
      <alignment horizontal="right"/>
    </xf>
    <xf numFmtId="1" fontId="16" fillId="0" borderId="0" xfId="0" applyNumberFormat="1" applyFont="1"/>
    <xf numFmtId="0" fontId="18" fillId="0" borderId="2" xfId="0" applyFont="1" applyBorder="1"/>
    <xf numFmtId="0" fontId="18" fillId="0" borderId="2" xfId="0" applyFont="1" applyBorder="1" applyAlignment="1">
      <alignment horizontal="center"/>
    </xf>
    <xf numFmtId="165" fontId="16" fillId="0" borderId="17" xfId="0" applyNumberFormat="1" applyFont="1" applyBorder="1"/>
    <xf numFmtId="0" fontId="16" fillId="0" borderId="18" xfId="0" applyFont="1" applyBorder="1"/>
    <xf numFmtId="0" fontId="16" fillId="0" borderId="19" xfId="0" applyFont="1" applyBorder="1"/>
    <xf numFmtId="164" fontId="16" fillId="10" borderId="5" xfId="0" applyNumberFormat="1" applyFont="1" applyFill="1" applyBorder="1"/>
    <xf numFmtId="164" fontId="16" fillId="0" borderId="23" xfId="0" applyNumberFormat="1" applyFont="1" applyBorder="1"/>
    <xf numFmtId="165" fontId="16" fillId="0" borderId="24" xfId="0" applyNumberFormat="1" applyFont="1" applyBorder="1"/>
    <xf numFmtId="164" fontId="16" fillId="11" borderId="7" xfId="0" applyNumberFormat="1" applyFont="1" applyFill="1" applyBorder="1"/>
    <xf numFmtId="164" fontId="16" fillId="10" borderId="7" xfId="0" applyNumberFormat="1" applyFont="1" applyFill="1" applyBorder="1"/>
    <xf numFmtId="167" fontId="16" fillId="4" borderId="0" xfId="0" applyNumberFormat="1" applyFont="1" applyFill="1"/>
    <xf numFmtId="164" fontId="16" fillId="12" borderId="7" xfId="0" applyNumberFormat="1" applyFont="1" applyFill="1" applyBorder="1"/>
    <xf numFmtId="2" fontId="16" fillId="10" borderId="7" xfId="0" applyNumberFormat="1" applyFont="1" applyFill="1" applyBorder="1"/>
    <xf numFmtId="2" fontId="16" fillId="11" borderId="7" xfId="0" applyNumberFormat="1" applyFont="1" applyFill="1" applyBorder="1"/>
    <xf numFmtId="2" fontId="16" fillId="10" borderId="8" xfId="0" applyNumberFormat="1" applyFont="1" applyFill="1" applyBorder="1"/>
    <xf numFmtId="0" fontId="16" fillId="10" borderId="1" xfId="0" applyFont="1" applyFill="1" applyBorder="1"/>
    <xf numFmtId="0" fontId="18" fillId="10" borderId="1" xfId="0" applyFont="1" applyFill="1" applyBorder="1" applyAlignment="1">
      <alignment horizontal="right"/>
    </xf>
    <xf numFmtId="164" fontId="16" fillId="0" borderId="20" xfId="0" applyNumberFormat="1" applyFont="1" applyBorder="1"/>
    <xf numFmtId="165" fontId="16" fillId="0" borderId="21" xfId="0" applyNumberFormat="1" applyFont="1" applyBorder="1"/>
    <xf numFmtId="165" fontId="16" fillId="0" borderId="22" xfId="0" applyNumberFormat="1" applyFont="1" applyBorder="1"/>
    <xf numFmtId="164" fontId="12" fillId="0" borderId="0" xfId="0" applyNumberFormat="1" applyFont="1"/>
    <xf numFmtId="165" fontId="12" fillId="0" borderId="0" xfId="0" applyNumberFormat="1" applyFont="1"/>
    <xf numFmtId="164" fontId="21" fillId="0" borderId="0" xfId="2" applyNumberFormat="1" applyFont="1" applyFill="1"/>
    <xf numFmtId="166" fontId="12" fillId="0" borderId="0" xfId="0" applyNumberFormat="1" applyFont="1"/>
    <xf numFmtId="164" fontId="13" fillId="0" borderId="0" xfId="0" applyNumberFormat="1" applyFont="1" applyAlignment="1">
      <alignment horizontal="right"/>
    </xf>
    <xf numFmtId="0" fontId="13" fillId="2" borderId="1" xfId="0" applyFont="1" applyFill="1" applyBorder="1"/>
    <xf numFmtId="165" fontId="12" fillId="14" borderId="5" xfId="0" applyNumberFormat="1" applyFont="1" applyFill="1" applyBorder="1"/>
    <xf numFmtId="0" fontId="12" fillId="2" borderId="0" xfId="0" applyFont="1" applyFill="1"/>
    <xf numFmtId="0" fontId="12" fillId="0" borderId="1" xfId="0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0" fontId="13" fillId="4" borderId="1" xfId="0" applyFont="1" applyFill="1" applyBorder="1"/>
    <xf numFmtId="165" fontId="12" fillId="15" borderId="7" xfId="0" applyNumberFormat="1" applyFont="1" applyFill="1" applyBorder="1"/>
    <xf numFmtId="0" fontId="12" fillId="0" borderId="6" xfId="0" applyFont="1" applyBorder="1"/>
    <xf numFmtId="165" fontId="12" fillId="14" borderId="7" xfId="0" applyNumberFormat="1" applyFont="1" applyFill="1" applyBorder="1"/>
    <xf numFmtId="10" fontId="12" fillId="2" borderId="0" xfId="0" applyNumberFormat="1" applyFont="1" applyFill="1" applyAlignment="1">
      <alignment horizontal="left"/>
    </xf>
    <xf numFmtId="167" fontId="12" fillId="15" borderId="7" xfId="0" applyNumberFormat="1" applyFont="1" applyFill="1" applyBorder="1"/>
    <xf numFmtId="167" fontId="12" fillId="4" borderId="0" xfId="0" applyNumberFormat="1" applyFont="1" applyFill="1"/>
    <xf numFmtId="0" fontId="13" fillId="4" borderId="14" xfId="0" applyFont="1" applyFill="1" applyBorder="1"/>
    <xf numFmtId="0" fontId="13" fillId="4" borderId="15" xfId="0" applyFont="1" applyFill="1" applyBorder="1"/>
    <xf numFmtId="164" fontId="12" fillId="16" borderId="7" xfId="0" applyNumberFormat="1" applyFont="1" applyFill="1" applyBorder="1"/>
    <xf numFmtId="0" fontId="12" fillId="6" borderId="0" xfId="0" applyFont="1" applyFill="1"/>
    <xf numFmtId="2" fontId="12" fillId="14" borderId="7" xfId="0" applyNumberFormat="1" applyFont="1" applyFill="1" applyBorder="1"/>
    <xf numFmtId="0" fontId="12" fillId="4" borderId="9" xfId="0" applyFont="1" applyFill="1" applyBorder="1" applyAlignment="1">
      <alignment horizontal="left"/>
    </xf>
    <xf numFmtId="0" fontId="12" fillId="4" borderId="4" xfId="0" applyFont="1" applyFill="1" applyBorder="1" applyAlignment="1">
      <alignment horizontal="left"/>
    </xf>
    <xf numFmtId="0" fontId="12" fillId="4" borderId="3" xfId="0" applyFont="1" applyFill="1" applyBorder="1" applyAlignment="1">
      <alignment horizontal="left"/>
    </xf>
    <xf numFmtId="2" fontId="12" fillId="15" borderId="7" xfId="0" applyNumberFormat="1" applyFont="1" applyFill="1" applyBorder="1"/>
    <xf numFmtId="0" fontId="12" fillId="0" borderId="9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3" fillId="2" borderId="9" xfId="0" applyFont="1" applyFill="1" applyBorder="1" applyAlignment="1">
      <alignment horizontal="left"/>
    </xf>
    <xf numFmtId="0" fontId="13" fillId="2" borderId="4" xfId="0" applyFont="1" applyFill="1" applyBorder="1" applyAlignment="1">
      <alignment horizontal="left"/>
    </xf>
    <xf numFmtId="2" fontId="12" fillId="14" borderId="8" xfId="0" applyNumberFormat="1" applyFont="1" applyFill="1" applyBorder="1"/>
    <xf numFmtId="0" fontId="15" fillId="0" borderId="0" xfId="0" applyFont="1"/>
    <xf numFmtId="164" fontId="12" fillId="0" borderId="1" xfId="0" applyNumberFormat="1" applyFont="1" applyBorder="1"/>
    <xf numFmtId="0" fontId="13" fillId="0" borderId="9" xfId="0" applyFont="1" applyBorder="1"/>
    <xf numFmtId="164" fontId="24" fillId="5" borderId="7" xfId="0" applyNumberFormat="1" applyFont="1" applyFill="1" applyBorder="1" applyAlignment="1">
      <alignment horizontal="center"/>
    </xf>
    <xf numFmtId="0" fontId="26" fillId="14" borderId="0" xfId="0" applyFont="1" applyFill="1" applyAlignment="1">
      <alignment horizontal="center"/>
    </xf>
    <xf numFmtId="0" fontId="0" fillId="0" borderId="0" xfId="0" applyAlignment="1">
      <alignment horizontal="center"/>
    </xf>
    <xf numFmtId="167" fontId="16" fillId="2" borderId="0" xfId="0" applyNumberFormat="1" applyFont="1" applyFill="1" applyAlignment="1">
      <alignment horizontal="left"/>
    </xf>
    <xf numFmtId="0" fontId="18" fillId="4" borderId="1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/>
    </xf>
    <xf numFmtId="165" fontId="13" fillId="4" borderId="1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2" fontId="13" fillId="0" borderId="0" xfId="0" applyNumberFormat="1" applyFont="1" applyAlignment="1">
      <alignment horizontal="right"/>
    </xf>
    <xf numFmtId="2" fontId="12" fillId="0" borderId="0" xfId="0" applyNumberFormat="1" applyFont="1"/>
    <xf numFmtId="0" fontId="27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64" fontId="16" fillId="0" borderId="0" xfId="0" applyNumberFormat="1" applyFont="1" applyAlignment="1">
      <alignment vertical="center"/>
    </xf>
    <xf numFmtId="165" fontId="16" fillId="0" borderId="0" xfId="0" applyNumberFormat="1" applyFont="1" applyAlignment="1">
      <alignment vertical="center"/>
    </xf>
    <xf numFmtId="0" fontId="16" fillId="7" borderId="1" xfId="0" applyFont="1" applyFill="1" applyBorder="1"/>
    <xf numFmtId="0" fontId="16" fillId="7" borderId="1" xfId="0" applyFont="1" applyFill="1" applyBorder="1" applyAlignment="1">
      <alignment horizontal="right"/>
    </xf>
    <xf numFmtId="0" fontId="16" fillId="10" borderId="1" xfId="0" applyFont="1" applyFill="1" applyBorder="1" applyAlignment="1">
      <alignment horizontal="right"/>
    </xf>
    <xf numFmtId="0" fontId="12" fillId="14" borderId="1" xfId="0" applyFont="1" applyFill="1" applyBorder="1"/>
    <xf numFmtId="0" fontId="12" fillId="14" borderId="1" xfId="0" applyFont="1" applyFill="1" applyBorder="1" applyAlignment="1">
      <alignment horizontal="right"/>
    </xf>
    <xf numFmtId="0" fontId="30" fillId="25" borderId="0" xfId="0" applyFont="1" applyFill="1"/>
    <xf numFmtId="0" fontId="31" fillId="25" borderId="0" xfId="0" applyFont="1" applyFill="1" applyAlignment="1">
      <alignment horizontal="center"/>
    </xf>
    <xf numFmtId="0" fontId="32" fillId="10" borderId="1" xfId="0" applyFont="1" applyFill="1" applyBorder="1"/>
    <xf numFmtId="0" fontId="28" fillId="25" borderId="0" xfId="0" applyFont="1" applyFill="1"/>
    <xf numFmtId="0" fontId="33" fillId="25" borderId="0" xfId="0" applyFont="1" applyFill="1" applyAlignment="1">
      <alignment horizontal="center"/>
    </xf>
    <xf numFmtId="0" fontId="30" fillId="0" borderId="1" xfId="0" applyFont="1" applyBorder="1"/>
    <xf numFmtId="2" fontId="13" fillId="0" borderId="1" xfId="0" applyNumberFormat="1" applyFont="1" applyBorder="1" applyAlignment="1">
      <alignment horizontal="right"/>
    </xf>
    <xf numFmtId="2" fontId="12" fillId="0" borderId="1" xfId="0" applyNumberFormat="1" applyFont="1" applyBorder="1"/>
    <xf numFmtId="2" fontId="12" fillId="0" borderId="9" xfId="0" applyNumberFormat="1" applyFont="1" applyBorder="1"/>
    <xf numFmtId="0" fontId="12" fillId="0" borderId="9" xfId="0" applyFont="1" applyBorder="1"/>
    <xf numFmtId="165" fontId="12" fillId="0" borderId="3" xfId="0" applyNumberFormat="1" applyFont="1" applyBorder="1"/>
    <xf numFmtId="165" fontId="12" fillId="0" borderId="1" xfId="0" applyNumberFormat="1" applyFont="1" applyBorder="1"/>
    <xf numFmtId="0" fontId="17" fillId="0" borderId="1" xfId="0" applyFont="1" applyBorder="1"/>
    <xf numFmtId="2" fontId="17" fillId="0" borderId="1" xfId="0" applyNumberFormat="1" applyFont="1" applyBorder="1"/>
    <xf numFmtId="2" fontId="17" fillId="0" borderId="9" xfId="0" applyNumberFormat="1" applyFont="1" applyBorder="1"/>
    <xf numFmtId="0" fontId="17" fillId="0" borderId="9" xfId="0" applyFont="1" applyBorder="1"/>
    <xf numFmtId="165" fontId="17" fillId="0" borderId="3" xfId="0" applyNumberFormat="1" applyFont="1" applyBorder="1"/>
    <xf numFmtId="165" fontId="17" fillId="0" borderId="1" xfId="0" applyNumberFormat="1" applyFont="1" applyBorder="1"/>
    <xf numFmtId="165" fontId="16" fillId="18" borderId="7" xfId="0" applyNumberFormat="1" applyFont="1" applyFill="1" applyBorder="1"/>
    <xf numFmtId="165" fontId="16" fillId="22" borderId="7" xfId="0" applyNumberFormat="1" applyFont="1" applyFill="1" applyBorder="1"/>
    <xf numFmtId="165" fontId="16" fillId="23" borderId="7" xfId="0" applyNumberFormat="1" applyFont="1" applyFill="1" applyBorder="1"/>
    <xf numFmtId="165" fontId="16" fillId="7" borderId="5" xfId="0" applyNumberFormat="1" applyFont="1" applyFill="1" applyBorder="1"/>
    <xf numFmtId="165" fontId="16" fillId="5" borderId="7" xfId="0" applyNumberFormat="1" applyFont="1" applyFill="1" applyBorder="1"/>
    <xf numFmtId="165" fontId="16" fillId="7" borderId="7" xfId="0" applyNumberFormat="1" applyFont="1" applyFill="1" applyBorder="1"/>
    <xf numFmtId="165" fontId="16" fillId="8" borderId="7" xfId="0" applyNumberFormat="1" applyFont="1" applyFill="1" applyBorder="1"/>
    <xf numFmtId="165" fontId="16" fillId="0" borderId="1" xfId="0" applyNumberFormat="1" applyFont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5" borderId="9" xfId="0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0" fontId="18" fillId="10" borderId="9" xfId="0" applyFont="1" applyFill="1" applyBorder="1" applyAlignment="1">
      <alignment horizontal="center"/>
    </xf>
    <xf numFmtId="0" fontId="18" fillId="10" borderId="3" xfId="0" applyFont="1" applyFill="1" applyBorder="1" applyAlignment="1">
      <alignment horizontal="center"/>
    </xf>
    <xf numFmtId="0" fontId="23" fillId="26" borderId="25" xfId="2" applyFont="1" applyFill="1" applyBorder="1"/>
    <xf numFmtId="0" fontId="22" fillId="26" borderId="25" xfId="0" applyFont="1" applyFill="1" applyBorder="1"/>
    <xf numFmtId="0" fontId="0" fillId="26" borderId="25" xfId="0" applyFill="1" applyBorder="1"/>
    <xf numFmtId="0" fontId="1" fillId="26" borderId="25" xfId="0" applyFont="1" applyFill="1" applyBorder="1"/>
    <xf numFmtId="164" fontId="0" fillId="26" borderId="25" xfId="0" applyNumberFormat="1" applyFill="1" applyBorder="1"/>
    <xf numFmtId="0" fontId="4" fillId="0" borderId="17" xfId="2" applyBorder="1"/>
    <xf numFmtId="0" fontId="4" fillId="0" borderId="20" xfId="2" applyBorder="1"/>
    <xf numFmtId="0" fontId="0" fillId="0" borderId="22" xfId="0" applyBorder="1"/>
    <xf numFmtId="0" fontId="4" fillId="26" borderId="17" xfId="2" applyFill="1" applyBorder="1"/>
    <xf numFmtId="0" fontId="0" fillId="26" borderId="19" xfId="0" applyFill="1" applyBorder="1"/>
    <xf numFmtId="0" fontId="4" fillId="26" borderId="20" xfId="2" applyFill="1" applyBorder="1"/>
    <xf numFmtId="0" fontId="0" fillId="26" borderId="22" xfId="0" applyFill="1" applyBorder="1"/>
    <xf numFmtId="0" fontId="4" fillId="26" borderId="10" xfId="2" applyFill="1" applyBorder="1"/>
    <xf numFmtId="0" fontId="0" fillId="26" borderId="11" xfId="0" applyFill="1" applyBorder="1"/>
    <xf numFmtId="0" fontId="13" fillId="25" borderId="2" xfId="0" applyFont="1" applyFill="1" applyBorder="1"/>
    <xf numFmtId="0" fontId="13" fillId="25" borderId="2" xfId="0" applyFont="1" applyFill="1" applyBorder="1" applyAlignment="1">
      <alignment horizontal="center"/>
    </xf>
    <xf numFmtId="0" fontId="13" fillId="25" borderId="0" xfId="0" applyFont="1" applyFill="1" applyAlignment="1">
      <alignment horizontal="center"/>
    </xf>
    <xf numFmtId="0" fontId="12" fillId="4" borderId="12" xfId="0" applyFont="1" applyFill="1" applyBorder="1"/>
    <xf numFmtId="0" fontId="12" fillId="4" borderId="13" xfId="0" applyFont="1" applyFill="1" applyBorder="1"/>
    <xf numFmtId="0" fontId="13" fillId="4" borderId="13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24" borderId="14" xfId="0" applyFont="1" applyFill="1" applyBorder="1" applyAlignment="1">
      <alignment horizontal="center"/>
    </xf>
    <xf numFmtId="0" fontId="16" fillId="4" borderId="0" xfId="0" applyFont="1" applyFill="1" applyAlignment="1">
      <alignment vertical="center"/>
    </xf>
    <xf numFmtId="0" fontId="18" fillId="4" borderId="7" xfId="0" applyFont="1" applyFill="1" applyBorder="1" applyAlignment="1">
      <alignment horizontal="center" vertical="center"/>
    </xf>
    <xf numFmtId="0" fontId="16" fillId="7" borderId="14" xfId="0" applyFont="1" applyFill="1" applyBorder="1" applyAlignment="1">
      <alignment horizontal="center" vertical="center"/>
    </xf>
    <xf numFmtId="0" fontId="16" fillId="20" borderId="14" xfId="0" applyFont="1" applyFill="1" applyBorder="1" applyAlignment="1">
      <alignment horizontal="center"/>
    </xf>
    <xf numFmtId="0" fontId="1" fillId="29" borderId="0" xfId="0" applyFont="1" applyFill="1" applyAlignment="1">
      <alignment horizontal="center"/>
    </xf>
    <xf numFmtId="0" fontId="4" fillId="0" borderId="0" xfId="2" applyFill="1"/>
    <xf numFmtId="0" fontId="16" fillId="6" borderId="16" xfId="0" applyFont="1" applyFill="1" applyBorder="1" applyAlignment="1">
      <alignment horizontal="center"/>
    </xf>
    <xf numFmtId="0" fontId="16" fillId="6" borderId="2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/>
    </xf>
    <xf numFmtId="0" fontId="19" fillId="4" borderId="0" xfId="0" applyFont="1" applyFill="1"/>
    <xf numFmtId="2" fontId="0" fillId="0" borderId="0" xfId="0" applyNumberFormat="1"/>
    <xf numFmtId="0" fontId="23" fillId="26" borderId="25" xfId="2" applyFont="1" applyFill="1" applyBorder="1" applyAlignment="1">
      <alignment horizontal="left"/>
    </xf>
    <xf numFmtId="0" fontId="23" fillId="26" borderId="25" xfId="2" applyFont="1" applyFill="1" applyBorder="1" applyAlignment="1">
      <alignment horizontal="center"/>
    </xf>
    <xf numFmtId="0" fontId="6" fillId="0" borderId="18" xfId="1" applyFont="1" applyFill="1" applyBorder="1" applyAlignment="1">
      <alignment horizontal="center" vertical="center" wrapText="1"/>
    </xf>
    <xf numFmtId="0" fontId="0" fillId="0" borderId="2" xfId="0" applyBorder="1"/>
    <xf numFmtId="0" fontId="6" fillId="0" borderId="0" xfId="1" applyFont="1" applyFill="1" applyBorder="1" applyAlignment="1">
      <alignment horizontal="center" vertical="center" wrapText="1"/>
    </xf>
    <xf numFmtId="0" fontId="22" fillId="0" borderId="0" xfId="0" applyFont="1"/>
    <xf numFmtId="164" fontId="22" fillId="0" borderId="0" xfId="0" applyNumberFormat="1" applyFont="1"/>
    <xf numFmtId="0" fontId="0" fillId="5" borderId="25" xfId="0" applyFill="1" applyBorder="1"/>
    <xf numFmtId="0" fontId="23" fillId="5" borderId="25" xfId="2" applyFont="1" applyFill="1" applyBorder="1" applyAlignment="1">
      <alignment vertical="center"/>
    </xf>
    <xf numFmtId="0" fontId="23" fillId="5" borderId="25" xfId="2" applyFont="1" applyFill="1" applyBorder="1" applyAlignment="1">
      <alignment horizontal="left" vertical="center"/>
    </xf>
    <xf numFmtId="0" fontId="22" fillId="5" borderId="25" xfId="0" applyFont="1" applyFill="1" applyBorder="1" applyAlignment="1">
      <alignment vertical="center"/>
    </xf>
    <xf numFmtId="0" fontId="17" fillId="5" borderId="25" xfId="0" applyFont="1" applyFill="1" applyBorder="1" applyAlignment="1">
      <alignment vertical="center"/>
    </xf>
    <xf numFmtId="0" fontId="5" fillId="5" borderId="25" xfId="0" applyFont="1" applyFill="1" applyBorder="1" applyAlignment="1">
      <alignment vertical="center"/>
    </xf>
    <xf numFmtId="164" fontId="17" fillId="5" borderId="25" xfId="0" applyNumberFormat="1" applyFont="1" applyFill="1" applyBorder="1" applyAlignment="1">
      <alignment vertical="center"/>
    </xf>
    <xf numFmtId="0" fontId="23" fillId="30" borderId="25" xfId="2" applyFont="1" applyFill="1" applyBorder="1"/>
    <xf numFmtId="0" fontId="22" fillId="30" borderId="25" xfId="0" applyFont="1" applyFill="1" applyBorder="1"/>
    <xf numFmtId="0" fontId="23" fillId="30" borderId="25" xfId="2" applyFont="1" applyFill="1" applyBorder="1" applyAlignment="1"/>
    <xf numFmtId="164" fontId="22" fillId="30" borderId="25" xfId="0" applyNumberFormat="1" applyFont="1" applyFill="1" applyBorder="1"/>
    <xf numFmtId="0" fontId="23" fillId="30" borderId="25" xfId="2" applyFont="1" applyFill="1" applyBorder="1" applyAlignment="1">
      <alignment horizontal="center"/>
    </xf>
    <xf numFmtId="0" fontId="23" fillId="0" borderId="2" xfId="2" applyFont="1" applyBorder="1"/>
    <xf numFmtId="0" fontId="23" fillId="0" borderId="2" xfId="2" applyFont="1" applyBorder="1" applyAlignment="1">
      <alignment horizontal="left"/>
    </xf>
    <xf numFmtId="0" fontId="23" fillId="0" borderId="2" xfId="2" applyFont="1" applyBorder="1" applyAlignment="1">
      <alignment horizontal="center"/>
    </xf>
    <xf numFmtId="0" fontId="24" fillId="10" borderId="0" xfId="0" applyFont="1" applyFill="1" applyAlignment="1">
      <alignment horizontal="center"/>
    </xf>
    <xf numFmtId="0" fontId="23" fillId="30" borderId="18" xfId="2" applyFont="1" applyFill="1" applyBorder="1" applyAlignment="1">
      <alignment horizontal="left"/>
    </xf>
    <xf numFmtId="0" fontId="23" fillId="30" borderId="18" xfId="2" applyFont="1" applyFill="1" applyBorder="1" applyAlignment="1"/>
    <xf numFmtId="0" fontId="22" fillId="30" borderId="18" xfId="0" applyFont="1" applyFill="1" applyBorder="1"/>
    <xf numFmtId="0" fontId="35" fillId="0" borderId="0" xfId="0" applyFont="1" applyAlignment="1" applyProtection="1">
      <alignment horizontal="right"/>
      <protection locked="0"/>
    </xf>
    <xf numFmtId="0" fontId="12" fillId="0" borderId="0" xfId="0" applyFont="1" applyProtection="1">
      <protection locked="0"/>
    </xf>
    <xf numFmtId="0" fontId="0" fillId="0" borderId="0" xfId="0" applyProtection="1">
      <protection locked="0"/>
    </xf>
    <xf numFmtId="0" fontId="12" fillId="3" borderId="0" xfId="0" applyFont="1" applyFill="1" applyProtection="1">
      <protection locked="0"/>
    </xf>
    <xf numFmtId="0" fontId="13" fillId="0" borderId="0" xfId="0" applyFont="1" applyAlignment="1" applyProtection="1">
      <alignment horizontal="center"/>
      <protection locked="0"/>
    </xf>
    <xf numFmtId="0" fontId="0" fillId="3" borderId="1" xfId="0" applyFill="1" applyBorder="1" applyProtection="1">
      <protection locked="0"/>
    </xf>
    <xf numFmtId="0" fontId="30" fillId="25" borderId="0" xfId="0" applyFont="1" applyFill="1" applyProtection="1">
      <protection locked="0"/>
    </xf>
    <xf numFmtId="0" fontId="26" fillId="25" borderId="0" xfId="0" applyFont="1" applyFill="1" applyAlignment="1" applyProtection="1">
      <alignment horizontal="center"/>
      <protection locked="0"/>
    </xf>
    <xf numFmtId="0" fontId="25" fillId="25" borderId="0" xfId="0" applyFont="1" applyFill="1" applyProtection="1">
      <protection locked="0"/>
    </xf>
    <xf numFmtId="0" fontId="31" fillId="25" borderId="0" xfId="0" applyFont="1" applyFill="1" applyAlignment="1" applyProtection="1">
      <alignment horizontal="center"/>
      <protection locked="0"/>
    </xf>
    <xf numFmtId="0" fontId="13" fillId="4" borderId="0" xfId="0" applyFont="1" applyFill="1" applyAlignment="1">
      <alignment horizontal="center"/>
    </xf>
    <xf numFmtId="0" fontId="0" fillId="13" borderId="0" xfId="0" applyFill="1"/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0" fillId="15" borderId="25" xfId="0" applyFill="1" applyBorder="1"/>
    <xf numFmtId="0" fontId="23" fillId="15" borderId="18" xfId="2" applyFont="1" applyFill="1" applyBorder="1"/>
    <xf numFmtId="0" fontId="23" fillId="15" borderId="25" xfId="2" applyFont="1" applyFill="1" applyBorder="1" applyAlignment="1">
      <alignment horizontal="left"/>
    </xf>
    <xf numFmtId="0" fontId="23" fillId="15" borderId="25" xfId="2" applyFont="1" applyFill="1" applyBorder="1"/>
    <xf numFmtId="0" fontId="1" fillId="15" borderId="25" xfId="0" applyFont="1" applyFill="1" applyBorder="1" applyAlignment="1">
      <alignment horizontal="center"/>
    </xf>
    <xf numFmtId="164" fontId="23" fillId="15" borderId="25" xfId="2" applyNumberFormat="1" applyFont="1" applyFill="1" applyBorder="1" applyAlignment="1">
      <alignment horizontal="center"/>
    </xf>
    <xf numFmtId="0" fontId="23" fillId="15" borderId="25" xfId="2" applyFont="1" applyFill="1" applyBorder="1" applyAlignment="1">
      <alignment horizontal="center"/>
    </xf>
    <xf numFmtId="0" fontId="1" fillId="15" borderId="25" xfId="0" applyFont="1" applyFill="1" applyBorder="1"/>
    <xf numFmtId="164" fontId="0" fillId="15" borderId="25" xfId="0" applyNumberFormat="1" applyFill="1" applyBorder="1"/>
    <xf numFmtId="0" fontId="22" fillId="15" borderId="25" xfId="0" applyFont="1" applyFill="1" applyBorder="1"/>
    <xf numFmtId="0" fontId="18" fillId="4" borderId="5" xfId="0" applyFont="1" applyFill="1" applyBorder="1" applyAlignment="1">
      <alignment horizontal="center"/>
    </xf>
    <xf numFmtId="0" fontId="18" fillId="6" borderId="0" xfId="0" applyFont="1" applyFill="1" applyAlignment="1">
      <alignment horizontal="center"/>
    </xf>
    <xf numFmtId="165" fontId="16" fillId="2" borderId="0" xfId="0" applyNumberFormat="1" applyFont="1" applyFill="1"/>
    <xf numFmtId="167" fontId="16" fillId="4" borderId="0" xfId="0" applyNumberFormat="1" applyFont="1" applyFill="1" applyAlignment="1">
      <alignment horizontal="center"/>
    </xf>
    <xf numFmtId="165" fontId="16" fillId="19" borderId="0" xfId="0" applyNumberFormat="1" applyFont="1" applyFill="1"/>
    <xf numFmtId="0" fontId="36" fillId="4" borderId="3" xfId="0" applyFont="1" applyFill="1" applyBorder="1" applyAlignment="1" applyProtection="1">
      <alignment horizontal="center"/>
      <protection locked="0"/>
    </xf>
    <xf numFmtId="0" fontId="16" fillId="17" borderId="17" xfId="0" applyFont="1" applyFill="1" applyBorder="1"/>
    <xf numFmtId="0" fontId="16" fillId="17" borderId="19" xfId="0" applyFont="1" applyFill="1" applyBorder="1"/>
    <xf numFmtId="0" fontId="16" fillId="17" borderId="20" xfId="0" applyFont="1" applyFill="1" applyBorder="1"/>
    <xf numFmtId="0" fontId="16" fillId="17" borderId="22" xfId="0" applyFont="1" applyFill="1" applyBorder="1"/>
    <xf numFmtId="0" fontId="16" fillId="0" borderId="10" xfId="0" applyFont="1" applyBorder="1"/>
    <xf numFmtId="0" fontId="16" fillId="0" borderId="11" xfId="0" applyFont="1" applyBorder="1"/>
    <xf numFmtId="0" fontId="8" fillId="18" borderId="0" xfId="0" applyFont="1" applyFill="1" applyAlignment="1" applyProtection="1">
      <alignment horizontal="center"/>
      <protection locked="0"/>
    </xf>
    <xf numFmtId="0" fontId="3" fillId="0" borderId="0" xfId="0" applyFont="1"/>
    <xf numFmtId="0" fontId="12" fillId="4" borderId="12" xfId="0" applyFont="1" applyFill="1" applyBorder="1" applyAlignment="1">
      <alignment horizontal="left"/>
    </xf>
    <xf numFmtId="0" fontId="12" fillId="4" borderId="13" xfId="0" applyFont="1" applyFill="1" applyBorder="1" applyAlignment="1">
      <alignment horizontal="left"/>
    </xf>
    <xf numFmtId="0" fontId="12" fillId="4" borderId="5" xfId="0" applyFont="1" applyFill="1" applyBorder="1" applyAlignment="1">
      <alignment horizontal="left"/>
    </xf>
    <xf numFmtId="0" fontId="12" fillId="2" borderId="9" xfId="0" applyFont="1" applyFill="1" applyBorder="1" applyAlignment="1">
      <alignment horizontal="left"/>
    </xf>
    <xf numFmtId="0" fontId="12" fillId="2" borderId="4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0" fontId="0" fillId="32" borderId="25" xfId="0" applyFill="1" applyBorder="1"/>
    <xf numFmtId="0" fontId="23" fillId="32" borderId="25" xfId="2" applyFont="1" applyFill="1" applyBorder="1" applyAlignment="1">
      <alignment vertical="center"/>
    </xf>
    <xf numFmtId="0" fontId="23" fillId="32" borderId="25" xfId="2" applyFont="1" applyFill="1" applyBorder="1" applyAlignment="1">
      <alignment horizontal="left" vertical="center"/>
    </xf>
    <xf numFmtId="0" fontId="22" fillId="32" borderId="25" xfId="0" applyFont="1" applyFill="1" applyBorder="1" applyAlignment="1">
      <alignment vertical="center"/>
    </xf>
    <xf numFmtId="0" fontId="5" fillId="32" borderId="25" xfId="0" applyFont="1" applyFill="1" applyBorder="1" applyAlignment="1">
      <alignment vertical="center"/>
    </xf>
    <xf numFmtId="164" fontId="17" fillId="32" borderId="25" xfId="0" applyNumberFormat="1" applyFont="1" applyFill="1" applyBorder="1" applyAlignment="1">
      <alignment vertical="center"/>
    </xf>
    <xf numFmtId="0" fontId="23" fillId="32" borderId="25" xfId="2" applyFont="1" applyFill="1" applyBorder="1" applyAlignment="1">
      <alignment horizontal="center" vertical="center"/>
    </xf>
    <xf numFmtId="0" fontId="4" fillId="32" borderId="25" xfId="2" applyFill="1" applyBorder="1" applyAlignment="1">
      <alignment horizontal="center" vertical="center"/>
    </xf>
    <xf numFmtId="0" fontId="4" fillId="32" borderId="25" xfId="2" applyFill="1" applyBorder="1"/>
    <xf numFmtId="0" fontId="4" fillId="32" borderId="25" xfId="2" applyFill="1" applyBorder="1" applyAlignment="1">
      <alignment vertical="center"/>
    </xf>
    <xf numFmtId="0" fontId="37" fillId="5" borderId="25" xfId="2" applyFont="1" applyFill="1" applyBorder="1" applyAlignment="1">
      <alignment vertical="center"/>
    </xf>
    <xf numFmtId="0" fontId="37" fillId="5" borderId="25" xfId="2" applyFont="1" applyFill="1" applyBorder="1" applyAlignment="1">
      <alignment horizontal="center" vertical="center"/>
    </xf>
    <xf numFmtId="0" fontId="37" fillId="26" borderId="25" xfId="2" applyFont="1" applyFill="1" applyBorder="1"/>
    <xf numFmtId="0" fontId="37" fillId="30" borderId="25" xfId="2" applyFont="1" applyFill="1" applyBorder="1"/>
    <xf numFmtId="0" fontId="37" fillId="15" borderId="25" xfId="2" applyFont="1" applyFill="1" applyBorder="1"/>
    <xf numFmtId="0" fontId="38" fillId="0" borderId="2" xfId="2" applyFont="1" applyBorder="1"/>
    <xf numFmtId="0" fontId="4" fillId="0" borderId="0" xfId="2" applyAlignment="1">
      <alignment horizontal="center"/>
    </xf>
    <xf numFmtId="0" fontId="0" fillId="33" borderId="18" xfId="0" applyFill="1" applyBorder="1"/>
    <xf numFmtId="0" fontId="0" fillId="33" borderId="19" xfId="0" applyFill="1" applyBorder="1"/>
    <xf numFmtId="0" fontId="0" fillId="33" borderId="0" xfId="0" applyFill="1"/>
    <xf numFmtId="0" fontId="0" fillId="33" borderId="24" xfId="0" applyFill="1" applyBorder="1"/>
    <xf numFmtId="0" fontId="0" fillId="33" borderId="21" xfId="0" applyFill="1" applyBorder="1"/>
    <xf numFmtId="0" fontId="0" fillId="33" borderId="22" xfId="0" applyFill="1" applyBorder="1"/>
    <xf numFmtId="0" fontId="12" fillId="3" borderId="1" xfId="0" applyFont="1" applyFill="1" applyBorder="1" applyProtection="1">
      <protection locked="0"/>
    </xf>
    <xf numFmtId="165" fontId="12" fillId="22" borderId="5" xfId="0" applyNumberFormat="1" applyFont="1" applyFill="1" applyBorder="1"/>
    <xf numFmtId="165" fontId="12" fillId="18" borderId="7" xfId="0" applyNumberFormat="1" applyFont="1" applyFill="1" applyBorder="1"/>
    <xf numFmtId="165" fontId="12" fillId="22" borderId="7" xfId="0" applyNumberFormat="1" applyFont="1" applyFill="1" applyBorder="1"/>
    <xf numFmtId="167" fontId="12" fillId="2" borderId="0" xfId="0" applyNumberFormat="1" applyFont="1" applyFill="1" applyAlignment="1">
      <alignment horizontal="left"/>
    </xf>
    <xf numFmtId="0" fontId="12" fillId="3" borderId="1" xfId="0" applyFont="1" applyFill="1" applyBorder="1" applyAlignment="1" applyProtection="1">
      <alignment horizontal="right"/>
      <protection locked="0"/>
    </xf>
    <xf numFmtId="0" fontId="17" fillId="0" borderId="9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2" fillId="0" borderId="9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6" fillId="21" borderId="17" xfId="1" applyFont="1" applyFill="1" applyBorder="1" applyAlignment="1">
      <alignment horizontal="center" vertical="center" wrapText="1"/>
    </xf>
    <xf numFmtId="0" fontId="6" fillId="21" borderId="18" xfId="1" applyFont="1" applyFill="1" applyBorder="1" applyAlignment="1">
      <alignment horizontal="center" vertical="center" wrapText="1"/>
    </xf>
    <xf numFmtId="0" fontId="6" fillId="21" borderId="19" xfId="1" applyFont="1" applyFill="1" applyBorder="1" applyAlignment="1">
      <alignment horizontal="center" vertical="center" wrapText="1"/>
    </xf>
    <xf numFmtId="0" fontId="6" fillId="21" borderId="20" xfId="1" applyFont="1" applyFill="1" applyBorder="1" applyAlignment="1">
      <alignment horizontal="center" vertical="center" wrapText="1"/>
    </xf>
    <xf numFmtId="0" fontId="6" fillId="21" borderId="21" xfId="1" applyFont="1" applyFill="1" applyBorder="1" applyAlignment="1">
      <alignment horizontal="center" vertical="center" wrapText="1"/>
    </xf>
    <xf numFmtId="0" fontId="6" fillId="21" borderId="22" xfId="1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4" fillId="28" borderId="0" xfId="0" applyFont="1" applyFill="1" applyAlignment="1">
      <alignment horizontal="center"/>
    </xf>
    <xf numFmtId="164" fontId="18" fillId="5" borderId="9" xfId="0" applyNumberFormat="1" applyFont="1" applyFill="1" applyBorder="1" applyAlignment="1">
      <alignment horizontal="center"/>
    </xf>
    <xf numFmtId="164" fontId="18" fillId="5" borderId="4" xfId="0" applyNumberFormat="1" applyFont="1" applyFill="1" applyBorder="1" applyAlignment="1">
      <alignment horizontal="center"/>
    </xf>
    <xf numFmtId="164" fontId="18" fillId="5" borderId="3" xfId="0" applyNumberFormat="1" applyFont="1" applyFill="1" applyBorder="1" applyAlignment="1">
      <alignment horizontal="center"/>
    </xf>
    <xf numFmtId="164" fontId="1" fillId="5" borderId="17" xfId="0" applyNumberFormat="1" applyFont="1" applyFill="1" applyBorder="1" applyAlignment="1">
      <alignment horizontal="center" vertical="center"/>
    </xf>
    <xf numFmtId="164" fontId="1" fillId="5" borderId="18" xfId="0" applyNumberFormat="1" applyFont="1" applyFill="1" applyBorder="1" applyAlignment="1">
      <alignment horizontal="center" vertical="center"/>
    </xf>
    <xf numFmtId="164" fontId="1" fillId="5" borderId="19" xfId="0" applyNumberFormat="1" applyFont="1" applyFill="1" applyBorder="1" applyAlignment="1">
      <alignment horizontal="center" vertical="center"/>
    </xf>
    <xf numFmtId="164" fontId="1" fillId="5" borderId="20" xfId="0" applyNumberFormat="1" applyFont="1" applyFill="1" applyBorder="1" applyAlignment="1">
      <alignment horizontal="center" vertical="center"/>
    </xf>
    <xf numFmtId="164" fontId="1" fillId="5" borderId="21" xfId="0" applyNumberFormat="1" applyFont="1" applyFill="1" applyBorder="1" applyAlignment="1">
      <alignment horizontal="center" vertical="center"/>
    </xf>
    <xf numFmtId="164" fontId="1" fillId="5" borderId="22" xfId="0" applyNumberFormat="1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/>
    </xf>
    <xf numFmtId="0" fontId="18" fillId="7" borderId="14" xfId="0" applyFont="1" applyFill="1" applyBorder="1" applyAlignment="1">
      <alignment horizontal="center"/>
    </xf>
    <xf numFmtId="0" fontId="6" fillId="9" borderId="17" xfId="1" applyFont="1" applyBorder="1" applyAlignment="1">
      <alignment horizontal="center" vertical="center" wrapText="1"/>
    </xf>
    <xf numFmtId="0" fontId="6" fillId="9" borderId="18" xfId="1" applyFont="1" applyBorder="1" applyAlignment="1">
      <alignment horizontal="center" vertical="center" wrapText="1"/>
    </xf>
    <xf numFmtId="0" fontId="6" fillId="9" borderId="19" xfId="1" applyFont="1" applyBorder="1" applyAlignment="1">
      <alignment horizontal="center" vertical="center" wrapText="1"/>
    </xf>
    <xf numFmtId="0" fontId="6" fillId="9" borderId="20" xfId="1" applyFont="1" applyBorder="1" applyAlignment="1">
      <alignment horizontal="center" vertical="center" wrapText="1"/>
    </xf>
    <xf numFmtId="0" fontId="6" fillId="9" borderId="21" xfId="1" applyFont="1" applyBorder="1" applyAlignment="1">
      <alignment horizontal="center" vertical="center" wrapText="1"/>
    </xf>
    <xf numFmtId="0" fontId="6" fillId="9" borderId="22" xfId="1" applyFont="1" applyBorder="1" applyAlignment="1">
      <alignment horizontal="center" vertical="center" wrapText="1"/>
    </xf>
    <xf numFmtId="0" fontId="29" fillId="5" borderId="16" xfId="2" applyFont="1" applyFill="1" applyBorder="1" applyAlignment="1">
      <alignment horizontal="center" vertical="center"/>
    </xf>
    <xf numFmtId="0" fontId="29" fillId="5" borderId="2" xfId="2" applyFont="1" applyFill="1" applyBorder="1" applyAlignment="1">
      <alignment horizontal="center" vertical="center"/>
    </xf>
    <xf numFmtId="0" fontId="29" fillId="5" borderId="8" xfId="2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left"/>
    </xf>
    <xf numFmtId="0" fontId="16" fillId="4" borderId="4" xfId="0" applyFont="1" applyFill="1" applyBorder="1" applyAlignment="1">
      <alignment horizontal="left"/>
    </xf>
    <xf numFmtId="0" fontId="16" fillId="4" borderId="3" xfId="0" applyFont="1" applyFill="1" applyBorder="1" applyAlignment="1">
      <alignment horizontal="left"/>
    </xf>
    <xf numFmtId="0" fontId="16" fillId="4" borderId="12" xfId="0" applyFont="1" applyFill="1" applyBorder="1" applyAlignment="1">
      <alignment horizontal="left"/>
    </xf>
    <xf numFmtId="0" fontId="16" fillId="4" borderId="13" xfId="0" applyFont="1" applyFill="1" applyBorder="1" applyAlignment="1">
      <alignment horizontal="left"/>
    </xf>
    <xf numFmtId="0" fontId="16" fillId="4" borderId="5" xfId="0" applyFont="1" applyFill="1" applyBorder="1" applyAlignment="1">
      <alignment horizontal="left"/>
    </xf>
    <xf numFmtId="0" fontId="16" fillId="6" borderId="16" xfId="0" applyFont="1" applyFill="1" applyBorder="1" applyAlignment="1">
      <alignment horizontal="center"/>
    </xf>
    <xf numFmtId="0" fontId="16" fillId="6" borderId="2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/>
    </xf>
    <xf numFmtId="0" fontId="16" fillId="2" borderId="3" xfId="0" applyFont="1" applyFill="1" applyBorder="1" applyAlignment="1">
      <alignment horizontal="left"/>
    </xf>
    <xf numFmtId="0" fontId="18" fillId="12" borderId="1" xfId="0" applyFont="1" applyFill="1" applyBorder="1" applyAlignment="1">
      <alignment horizontal="center"/>
    </xf>
    <xf numFmtId="0" fontId="18" fillId="12" borderId="14" xfId="0" applyFont="1" applyFill="1" applyBorder="1" applyAlignment="1">
      <alignment horizontal="center"/>
    </xf>
    <xf numFmtId="0" fontId="6" fillId="12" borderId="17" xfId="1" applyFont="1" applyFill="1" applyBorder="1" applyAlignment="1">
      <alignment horizontal="center" vertical="center" wrapText="1"/>
    </xf>
    <xf numFmtId="0" fontId="6" fillId="12" borderId="18" xfId="1" applyFont="1" applyFill="1" applyBorder="1" applyAlignment="1">
      <alignment horizontal="center" vertical="center" wrapText="1"/>
    </xf>
    <xf numFmtId="0" fontId="6" fillId="12" borderId="19" xfId="1" applyFont="1" applyFill="1" applyBorder="1" applyAlignment="1">
      <alignment horizontal="center" vertical="center" wrapText="1"/>
    </xf>
    <xf numFmtId="0" fontId="6" fillId="12" borderId="20" xfId="1" applyFont="1" applyFill="1" applyBorder="1" applyAlignment="1">
      <alignment horizontal="center" vertical="center" wrapText="1"/>
    </xf>
    <xf numFmtId="0" fontId="6" fillId="12" borderId="21" xfId="1" applyFont="1" applyFill="1" applyBorder="1" applyAlignment="1">
      <alignment horizontal="center" vertical="center" wrapText="1"/>
    </xf>
    <xf numFmtId="0" fontId="6" fillId="12" borderId="22" xfId="1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164" fontId="18" fillId="10" borderId="9" xfId="0" applyNumberFormat="1" applyFont="1" applyFill="1" applyBorder="1" applyAlignment="1">
      <alignment horizontal="center"/>
    </xf>
    <xf numFmtId="164" fontId="18" fillId="10" borderId="4" xfId="0" applyNumberFormat="1" applyFont="1" applyFill="1" applyBorder="1" applyAlignment="1">
      <alignment horizontal="center"/>
    </xf>
    <xf numFmtId="164" fontId="18" fillId="10" borderId="3" xfId="0" applyNumberFormat="1" applyFont="1" applyFill="1" applyBorder="1" applyAlignment="1">
      <alignment horizontal="center"/>
    </xf>
    <xf numFmtId="164" fontId="1" fillId="10" borderId="17" xfId="0" applyNumberFormat="1" applyFont="1" applyFill="1" applyBorder="1" applyAlignment="1">
      <alignment horizontal="center" vertical="center"/>
    </xf>
    <xf numFmtId="164" fontId="1" fillId="10" borderId="18" xfId="0" applyNumberFormat="1" applyFont="1" applyFill="1" applyBorder="1" applyAlignment="1">
      <alignment horizontal="center" vertical="center"/>
    </xf>
    <xf numFmtId="164" fontId="1" fillId="10" borderId="19" xfId="0" applyNumberFormat="1" applyFont="1" applyFill="1" applyBorder="1" applyAlignment="1">
      <alignment horizontal="center" vertical="center"/>
    </xf>
    <xf numFmtId="164" fontId="1" fillId="10" borderId="20" xfId="0" applyNumberFormat="1" applyFont="1" applyFill="1" applyBorder="1" applyAlignment="1">
      <alignment horizontal="center" vertical="center"/>
    </xf>
    <xf numFmtId="164" fontId="1" fillId="10" borderId="21" xfId="0" applyNumberFormat="1" applyFont="1" applyFill="1" applyBorder="1" applyAlignment="1">
      <alignment horizontal="center" vertical="center"/>
    </xf>
    <xf numFmtId="164" fontId="1" fillId="10" borderId="22" xfId="0" applyNumberFormat="1" applyFont="1" applyFill="1" applyBorder="1" applyAlignment="1">
      <alignment horizontal="center" vertical="center"/>
    </xf>
    <xf numFmtId="0" fontId="23" fillId="30" borderId="10" xfId="2" applyFont="1" applyFill="1" applyBorder="1" applyAlignment="1">
      <alignment horizontal="center"/>
    </xf>
    <xf numFmtId="0" fontId="23" fillId="30" borderId="26" xfId="2" applyFont="1" applyFill="1" applyBorder="1" applyAlignment="1">
      <alignment horizontal="center"/>
    </xf>
    <xf numFmtId="0" fontId="23" fillId="30" borderId="11" xfId="2" applyFont="1" applyFill="1" applyBorder="1" applyAlignment="1">
      <alignment horizontal="center"/>
    </xf>
    <xf numFmtId="0" fontId="7" fillId="1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2" fillId="0" borderId="1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2" fillId="4" borderId="9" xfId="0" applyFont="1" applyFill="1" applyBorder="1" applyAlignment="1">
      <alignment horizontal="left"/>
    </xf>
    <xf numFmtId="0" fontId="12" fillId="4" borderId="4" xfId="0" applyFont="1" applyFill="1" applyBorder="1" applyAlignment="1">
      <alignment horizontal="left"/>
    </xf>
    <xf numFmtId="0" fontId="12" fillId="4" borderId="3" xfId="0" applyFont="1" applyFill="1" applyBorder="1" applyAlignment="1">
      <alignment horizontal="left"/>
    </xf>
    <xf numFmtId="0" fontId="12" fillId="4" borderId="12" xfId="0" applyFont="1" applyFill="1" applyBorder="1" applyAlignment="1">
      <alignment horizontal="left"/>
    </xf>
    <xf numFmtId="0" fontId="12" fillId="4" borderId="13" xfId="0" applyFont="1" applyFill="1" applyBorder="1" applyAlignment="1">
      <alignment horizontal="left"/>
    </xf>
    <xf numFmtId="0" fontId="12" fillId="4" borderId="5" xfId="0" applyFont="1" applyFill="1" applyBorder="1" applyAlignment="1">
      <alignment horizontal="left"/>
    </xf>
    <xf numFmtId="0" fontId="12" fillId="6" borderId="16" xfId="0" applyFont="1" applyFill="1" applyBorder="1" applyAlignment="1">
      <alignment horizontal="center"/>
    </xf>
    <xf numFmtId="0" fontId="12" fillId="6" borderId="2" xfId="0" applyFont="1" applyFill="1" applyBorder="1" applyAlignment="1">
      <alignment horizontal="center"/>
    </xf>
    <xf numFmtId="0" fontId="12" fillId="6" borderId="8" xfId="0" applyFont="1" applyFill="1" applyBorder="1" applyAlignment="1">
      <alignment horizontal="center"/>
    </xf>
    <xf numFmtId="0" fontId="6" fillId="16" borderId="17" xfId="1" applyFont="1" applyFill="1" applyBorder="1" applyAlignment="1">
      <alignment horizontal="center" vertical="center" wrapText="1"/>
    </xf>
    <xf numFmtId="0" fontId="6" fillId="16" borderId="18" xfId="1" applyFont="1" applyFill="1" applyBorder="1" applyAlignment="1">
      <alignment horizontal="center" vertical="center" wrapText="1"/>
    </xf>
    <xf numFmtId="0" fontId="6" fillId="16" borderId="19" xfId="1" applyFont="1" applyFill="1" applyBorder="1" applyAlignment="1">
      <alignment horizontal="center" vertical="center" wrapText="1"/>
    </xf>
    <xf numFmtId="0" fontId="6" fillId="16" borderId="20" xfId="1" applyFont="1" applyFill="1" applyBorder="1" applyAlignment="1">
      <alignment horizontal="center" vertical="center" wrapText="1"/>
    </xf>
    <xf numFmtId="0" fontId="6" fillId="16" borderId="21" xfId="1" applyFont="1" applyFill="1" applyBorder="1" applyAlignment="1">
      <alignment horizontal="center" vertical="center" wrapText="1"/>
    </xf>
    <xf numFmtId="0" fontId="6" fillId="16" borderId="22" xfId="1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left"/>
    </xf>
    <xf numFmtId="0" fontId="12" fillId="2" borderId="4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0" fontId="13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165" fontId="13" fillId="14" borderId="9" xfId="0" applyNumberFormat="1" applyFont="1" applyFill="1" applyBorder="1" applyAlignment="1">
      <alignment horizontal="center"/>
    </xf>
    <xf numFmtId="165" fontId="13" fillId="14" borderId="4" xfId="0" applyNumberFormat="1" applyFont="1" applyFill="1" applyBorder="1" applyAlignment="1">
      <alignment horizontal="center"/>
    </xf>
    <xf numFmtId="165" fontId="13" fillId="14" borderId="3" xfId="0" applyNumberFormat="1" applyFont="1" applyFill="1" applyBorder="1" applyAlignment="1">
      <alignment horizontal="center"/>
    </xf>
    <xf numFmtId="165" fontId="1" fillId="14" borderId="17" xfId="0" applyNumberFormat="1" applyFont="1" applyFill="1" applyBorder="1" applyAlignment="1">
      <alignment horizontal="center" vertical="center"/>
    </xf>
    <xf numFmtId="165" fontId="1" fillId="14" borderId="18" xfId="0" applyNumberFormat="1" applyFont="1" applyFill="1" applyBorder="1" applyAlignment="1">
      <alignment horizontal="center" vertical="center"/>
    </xf>
    <xf numFmtId="165" fontId="1" fillId="14" borderId="19" xfId="0" applyNumberFormat="1" applyFont="1" applyFill="1" applyBorder="1" applyAlignment="1">
      <alignment horizontal="center" vertical="center"/>
    </xf>
    <xf numFmtId="165" fontId="1" fillId="14" borderId="20" xfId="0" applyNumberFormat="1" applyFont="1" applyFill="1" applyBorder="1" applyAlignment="1">
      <alignment horizontal="center" vertical="center"/>
    </xf>
    <xf numFmtId="165" fontId="1" fillId="14" borderId="21" xfId="0" applyNumberFormat="1" applyFont="1" applyFill="1" applyBorder="1" applyAlignment="1">
      <alignment horizontal="center" vertical="center"/>
    </xf>
    <xf numFmtId="165" fontId="1" fillId="14" borderId="22" xfId="0" applyNumberFormat="1" applyFont="1" applyFill="1" applyBorder="1" applyAlignment="1">
      <alignment horizontal="center" vertical="center"/>
    </xf>
    <xf numFmtId="165" fontId="18" fillId="19" borderId="17" xfId="0" applyNumberFormat="1" applyFont="1" applyFill="1" applyBorder="1" applyAlignment="1">
      <alignment horizontal="center" vertical="center"/>
    </xf>
    <xf numFmtId="165" fontId="18" fillId="19" borderId="18" xfId="0" applyNumberFormat="1" applyFont="1" applyFill="1" applyBorder="1" applyAlignment="1">
      <alignment horizontal="center" vertical="center"/>
    </xf>
    <xf numFmtId="165" fontId="18" fillId="19" borderId="19" xfId="0" applyNumberFormat="1" applyFont="1" applyFill="1" applyBorder="1" applyAlignment="1">
      <alignment horizontal="center" vertical="center"/>
    </xf>
    <xf numFmtId="165" fontId="18" fillId="19" borderId="20" xfId="0" applyNumberFormat="1" applyFont="1" applyFill="1" applyBorder="1" applyAlignment="1">
      <alignment horizontal="center" vertical="center"/>
    </xf>
    <xf numFmtId="165" fontId="18" fillId="19" borderId="21" xfId="0" applyNumberFormat="1" applyFont="1" applyFill="1" applyBorder="1" applyAlignment="1">
      <alignment horizontal="center" vertical="center"/>
    </xf>
    <xf numFmtId="165" fontId="18" fillId="19" borderId="22" xfId="0" applyNumberFormat="1" applyFont="1" applyFill="1" applyBorder="1" applyAlignment="1">
      <alignment horizontal="center" vertical="center"/>
    </xf>
    <xf numFmtId="0" fontId="24" fillId="19" borderId="23" xfId="2" applyFont="1" applyFill="1" applyBorder="1" applyAlignment="1">
      <alignment horizontal="center"/>
    </xf>
    <xf numFmtId="0" fontId="24" fillId="19" borderId="0" xfId="2" applyFont="1" applyFill="1" applyAlignment="1">
      <alignment horizontal="center"/>
    </xf>
    <xf numFmtId="0" fontId="6" fillId="27" borderId="17" xfId="1" applyFont="1" applyFill="1" applyBorder="1" applyAlignment="1">
      <alignment horizontal="center" vertical="center" wrapText="1"/>
    </xf>
    <xf numFmtId="0" fontId="6" fillId="27" borderId="18" xfId="1" applyFont="1" applyFill="1" applyBorder="1" applyAlignment="1">
      <alignment horizontal="center" vertical="center" wrapText="1"/>
    </xf>
    <xf numFmtId="0" fontId="6" fillId="27" borderId="19" xfId="1" applyFont="1" applyFill="1" applyBorder="1" applyAlignment="1">
      <alignment horizontal="center" vertical="center" wrapText="1"/>
    </xf>
    <xf numFmtId="0" fontId="6" fillId="27" borderId="20" xfId="1" applyFont="1" applyFill="1" applyBorder="1" applyAlignment="1">
      <alignment horizontal="center" vertical="center" wrapText="1"/>
    </xf>
    <xf numFmtId="0" fontId="6" fillId="27" borderId="21" xfId="1" applyFont="1" applyFill="1" applyBorder="1" applyAlignment="1">
      <alignment horizontal="center" vertical="center" wrapText="1"/>
    </xf>
    <xf numFmtId="0" fontId="6" fillId="27" borderId="22" xfId="1" applyFont="1" applyFill="1" applyBorder="1" applyAlignment="1">
      <alignment horizontal="center" vertical="center" wrapText="1"/>
    </xf>
    <xf numFmtId="0" fontId="6" fillId="31" borderId="17" xfId="1" applyFont="1" applyFill="1" applyBorder="1" applyAlignment="1">
      <alignment horizontal="center" vertical="center" wrapText="1"/>
    </xf>
    <xf numFmtId="0" fontId="6" fillId="31" borderId="18" xfId="1" applyFont="1" applyFill="1" applyBorder="1" applyAlignment="1">
      <alignment horizontal="center" vertical="center" wrapText="1"/>
    </xf>
    <xf numFmtId="0" fontId="6" fillId="31" borderId="19" xfId="1" applyFont="1" applyFill="1" applyBorder="1" applyAlignment="1">
      <alignment horizontal="center" vertical="center" wrapText="1"/>
    </xf>
    <xf numFmtId="0" fontId="6" fillId="31" borderId="20" xfId="1" applyFont="1" applyFill="1" applyBorder="1" applyAlignment="1">
      <alignment horizontal="center" vertical="center" wrapText="1"/>
    </xf>
    <xf numFmtId="0" fontId="6" fillId="31" borderId="21" xfId="1" applyFont="1" applyFill="1" applyBorder="1" applyAlignment="1">
      <alignment horizontal="center" vertical="center" wrapText="1"/>
    </xf>
    <xf numFmtId="0" fontId="6" fillId="31" borderId="22" xfId="1" applyFont="1" applyFill="1" applyBorder="1" applyAlignment="1">
      <alignment horizontal="center" vertical="center" wrapText="1"/>
    </xf>
    <xf numFmtId="0" fontId="4" fillId="33" borderId="17" xfId="2" applyFill="1" applyBorder="1" applyAlignment="1">
      <alignment horizontal="left"/>
    </xf>
    <xf numFmtId="0" fontId="4" fillId="33" borderId="18" xfId="2" applyFill="1" applyBorder="1" applyAlignment="1">
      <alignment horizontal="left"/>
    </xf>
    <xf numFmtId="0" fontId="4" fillId="33" borderId="23" xfId="2" applyFill="1" applyBorder="1" applyAlignment="1">
      <alignment horizontal="left"/>
    </xf>
    <xf numFmtId="0" fontId="4" fillId="33" borderId="0" xfId="2" applyFill="1" applyBorder="1" applyAlignment="1">
      <alignment horizontal="left"/>
    </xf>
    <xf numFmtId="0" fontId="4" fillId="33" borderId="20" xfId="2" applyFill="1" applyBorder="1" applyAlignment="1">
      <alignment horizontal="left"/>
    </xf>
    <xf numFmtId="0" fontId="4" fillId="33" borderId="21" xfId="2" applyFill="1" applyBorder="1" applyAlignment="1">
      <alignment horizontal="left"/>
    </xf>
  </cellXfs>
  <cellStyles count="3">
    <cellStyle name="Énfasis1" xfId="1" builtinId="29"/>
    <cellStyle name="Hipervínculo" xfId="2" builtinId="8"/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2C80FC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EFC2BF"/>
      <color rgb="FFFEAE9E"/>
      <color rgb="FFEA7E6C"/>
      <color rgb="FFF19A65"/>
      <color rgb="FF2C8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E21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Ayuda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781050</xdr:colOff>
          <xdr:row>20</xdr:row>
          <xdr:rowOff>19050</xdr:rowOff>
        </xdr:from>
        <xdr:to>
          <xdr:col>4</xdr:col>
          <xdr:colOff>752475</xdr:colOff>
          <xdr:row>22</xdr:row>
          <xdr:rowOff>76200</xdr:rowOff>
        </xdr:to>
        <xdr:sp macro="" textlink="">
          <xdr:nvSpPr>
            <xdr:cNvPr id="6159" name="Check Box 15" descr="MG1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0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0C0C0" mc:Ignorable="a14" a14:legacySpreadsheetColorIndex="22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A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MG1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12</xdr:col>
      <xdr:colOff>95250</xdr:colOff>
      <xdr:row>9</xdr:row>
      <xdr:rowOff>104776</xdr:rowOff>
    </xdr:from>
    <xdr:to>
      <xdr:col>16</xdr:col>
      <xdr:colOff>638175</xdr:colOff>
      <xdr:row>29</xdr:row>
      <xdr:rowOff>68164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6047"/>
        <a:stretch/>
      </xdr:blipFill>
      <xdr:spPr>
        <a:xfrm>
          <a:off x="8905875" y="1647826"/>
          <a:ext cx="4238625" cy="2839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4</xdr:row>
          <xdr:rowOff>0</xdr:rowOff>
        </xdr:from>
        <xdr:to>
          <xdr:col>46</xdr:col>
          <xdr:colOff>333375</xdr:colOff>
          <xdr:row>48</xdr:row>
          <xdr:rowOff>38100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5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47</xdr:row>
          <xdr:rowOff>0</xdr:rowOff>
        </xdr:from>
        <xdr:to>
          <xdr:col>38</xdr:col>
          <xdr:colOff>333375</xdr:colOff>
          <xdr:row>89</xdr:row>
          <xdr:rowOff>19050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5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47</xdr:row>
          <xdr:rowOff>0</xdr:rowOff>
        </xdr:from>
        <xdr:to>
          <xdr:col>46</xdr:col>
          <xdr:colOff>333375</xdr:colOff>
          <xdr:row>89</xdr:row>
          <xdr:rowOff>19050</xdr:rowOff>
        </xdr:to>
        <xdr:sp macro="" textlink="">
          <xdr:nvSpPr>
            <xdr:cNvPr id="7176" name="Object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5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90</xdr:row>
          <xdr:rowOff>0</xdr:rowOff>
        </xdr:from>
        <xdr:to>
          <xdr:col>38</xdr:col>
          <xdr:colOff>333375</xdr:colOff>
          <xdr:row>132</xdr:row>
          <xdr:rowOff>19050</xdr:rowOff>
        </xdr:to>
        <xdr:sp macro="" textlink="">
          <xdr:nvSpPr>
            <xdr:cNvPr id="7177" name="Object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5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90</xdr:row>
          <xdr:rowOff>0</xdr:rowOff>
        </xdr:from>
        <xdr:to>
          <xdr:col>46</xdr:col>
          <xdr:colOff>333375</xdr:colOff>
          <xdr:row>132</xdr:row>
          <xdr:rowOff>19050</xdr:rowOff>
        </xdr:to>
        <xdr:sp macro="" textlink="">
          <xdr:nvSpPr>
            <xdr:cNvPr id="7178" name="Object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5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133</xdr:row>
          <xdr:rowOff>0</xdr:rowOff>
        </xdr:from>
        <xdr:to>
          <xdr:col>38</xdr:col>
          <xdr:colOff>333375</xdr:colOff>
          <xdr:row>175</xdr:row>
          <xdr:rowOff>19050</xdr:rowOff>
        </xdr:to>
        <xdr:sp macro="" textlink="">
          <xdr:nvSpPr>
            <xdr:cNvPr id="7179" name="Object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5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0</xdr:colOff>
          <xdr:row>133</xdr:row>
          <xdr:rowOff>0</xdr:rowOff>
        </xdr:from>
        <xdr:to>
          <xdr:col>49</xdr:col>
          <xdr:colOff>400050</xdr:colOff>
          <xdr:row>162</xdr:row>
          <xdr:rowOff>142875</xdr:rowOff>
        </xdr:to>
        <xdr:sp macro="" textlink="">
          <xdr:nvSpPr>
            <xdr:cNvPr id="7180" name="Object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5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176</xdr:row>
          <xdr:rowOff>0</xdr:rowOff>
        </xdr:from>
        <xdr:to>
          <xdr:col>41</xdr:col>
          <xdr:colOff>400050</xdr:colOff>
          <xdr:row>205</xdr:row>
          <xdr:rowOff>142875</xdr:rowOff>
        </xdr:to>
        <xdr:sp macro="" textlink="">
          <xdr:nvSpPr>
            <xdr:cNvPr id="7181" name="Object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5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176</xdr:row>
          <xdr:rowOff>0</xdr:rowOff>
        </xdr:from>
        <xdr:to>
          <xdr:col>52</xdr:col>
          <xdr:colOff>400050</xdr:colOff>
          <xdr:row>205</xdr:row>
          <xdr:rowOff>142875</xdr:rowOff>
        </xdr:to>
        <xdr:sp macro="" textlink="">
          <xdr:nvSpPr>
            <xdr:cNvPr id="7182" name="Object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5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206</xdr:row>
          <xdr:rowOff>0</xdr:rowOff>
        </xdr:from>
        <xdr:to>
          <xdr:col>41</xdr:col>
          <xdr:colOff>400050</xdr:colOff>
          <xdr:row>235</xdr:row>
          <xdr:rowOff>142875</xdr:rowOff>
        </xdr:to>
        <xdr:sp macro="" textlink="">
          <xdr:nvSpPr>
            <xdr:cNvPr id="7183" name="Object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5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4</xdr:row>
          <xdr:rowOff>0</xdr:rowOff>
        </xdr:from>
        <xdr:to>
          <xdr:col>38</xdr:col>
          <xdr:colOff>333375</xdr:colOff>
          <xdr:row>48</xdr:row>
          <xdr:rowOff>38100</xdr:rowOff>
        </xdr:to>
        <xdr:sp macro="" textlink="">
          <xdr:nvSpPr>
            <xdr:cNvPr id="7184" name="Object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5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</xdr:row>
          <xdr:rowOff>0</xdr:rowOff>
        </xdr:from>
        <xdr:to>
          <xdr:col>7</xdr:col>
          <xdr:colOff>371475</xdr:colOff>
          <xdr:row>48</xdr:row>
          <xdr:rowOff>38100</xdr:rowOff>
        </xdr:to>
        <xdr:sp macro="" textlink="">
          <xdr:nvSpPr>
            <xdr:cNvPr id="7185" name="Object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5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46</xdr:row>
          <xdr:rowOff>47625</xdr:rowOff>
        </xdr:from>
        <xdr:to>
          <xdr:col>7</xdr:col>
          <xdr:colOff>361950</xdr:colOff>
          <xdr:row>88</xdr:row>
          <xdr:rowOff>66675</xdr:rowOff>
        </xdr:to>
        <xdr:sp macro="" textlink="">
          <xdr:nvSpPr>
            <xdr:cNvPr id="7186" name="Object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5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46</xdr:row>
          <xdr:rowOff>47625</xdr:rowOff>
        </xdr:from>
        <xdr:to>
          <xdr:col>14</xdr:col>
          <xdr:colOff>714375</xdr:colOff>
          <xdr:row>88</xdr:row>
          <xdr:rowOff>66675</xdr:rowOff>
        </xdr:to>
        <xdr:sp macro="" textlink="">
          <xdr:nvSpPr>
            <xdr:cNvPr id="7187" name="AutoShape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5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95250</xdr:rowOff>
        </xdr:from>
        <xdr:to>
          <xdr:col>7</xdr:col>
          <xdr:colOff>361950</xdr:colOff>
          <xdr:row>130</xdr:row>
          <xdr:rowOff>114300</xdr:rowOff>
        </xdr:to>
        <xdr:sp macro="" textlink="">
          <xdr:nvSpPr>
            <xdr:cNvPr id="7188" name="Object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5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88</xdr:row>
          <xdr:rowOff>95250</xdr:rowOff>
        </xdr:from>
        <xdr:to>
          <xdr:col>14</xdr:col>
          <xdr:colOff>714375</xdr:colOff>
          <xdr:row>130</xdr:row>
          <xdr:rowOff>114300</xdr:rowOff>
        </xdr:to>
        <xdr:sp macro="" textlink="">
          <xdr:nvSpPr>
            <xdr:cNvPr id="7189" name="Object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5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130</xdr:row>
          <xdr:rowOff>142875</xdr:rowOff>
        </xdr:from>
        <xdr:to>
          <xdr:col>7</xdr:col>
          <xdr:colOff>352425</xdr:colOff>
          <xdr:row>172</xdr:row>
          <xdr:rowOff>161925</xdr:rowOff>
        </xdr:to>
        <xdr:sp macro="" textlink="">
          <xdr:nvSpPr>
            <xdr:cNvPr id="7190" name="Object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5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130</xdr:row>
          <xdr:rowOff>142875</xdr:rowOff>
        </xdr:from>
        <xdr:to>
          <xdr:col>14</xdr:col>
          <xdr:colOff>714375</xdr:colOff>
          <xdr:row>172</xdr:row>
          <xdr:rowOff>161925</xdr:rowOff>
        </xdr:to>
        <xdr:sp macro="" textlink="">
          <xdr:nvSpPr>
            <xdr:cNvPr id="7191" name="Object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5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7</xdr:col>
      <xdr:colOff>400050</xdr:colOff>
      <xdr:row>11</xdr:row>
      <xdr:rowOff>142875</xdr:rowOff>
    </xdr:from>
    <xdr:to>
      <xdr:col>15</xdr:col>
      <xdr:colOff>371475</xdr:colOff>
      <xdr:row>31</xdr:row>
      <xdr:rowOff>178594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050" r="16623"/>
        <a:stretch/>
      </xdr:blipFill>
      <xdr:spPr>
        <a:xfrm>
          <a:off x="5734050" y="1857375"/>
          <a:ext cx="6067425" cy="3845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9.emf"/><Relationship Id="rId3" Type="http://schemas.openxmlformats.org/officeDocument/2006/relationships/vmlDrawing" Target="../drawings/vmlDrawing2.vml"/><Relationship Id="rId21" Type="http://schemas.openxmlformats.org/officeDocument/2006/relationships/image" Target="../media/image10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5" Type="http://schemas.openxmlformats.org/officeDocument/2006/relationships/image" Target="../media/image12.emf"/><Relationship Id="rId33" Type="http://schemas.openxmlformats.org/officeDocument/2006/relationships/image" Target="../media/image16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4.emf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8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emf"/><Relationship Id="rId31" Type="http://schemas.openxmlformats.org/officeDocument/2006/relationships/image" Target="../media/image1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3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17DC6-1A3C-4721-B86D-833DA5D1D252}">
  <sheetPr codeName="Hoja6"/>
  <dimension ref="A1:W35"/>
  <sheetViews>
    <sheetView showGridLines="0" tabSelected="1" workbookViewId="0">
      <selection sqref="A1:O2"/>
    </sheetView>
  </sheetViews>
  <sheetFormatPr baseColWidth="10" defaultRowHeight="15" x14ac:dyDescent="0.25"/>
  <cols>
    <col min="4" max="4" width="12" bestFit="1" customWidth="1"/>
    <col min="6" max="6" width="7.140625" customWidth="1"/>
    <col min="11" max="11" width="9.7109375" customWidth="1"/>
    <col min="12" max="12" width="11.85546875" bestFit="1" customWidth="1"/>
    <col min="14" max="14" width="21.140625" customWidth="1"/>
    <col min="18" max="18" width="10.7109375" customWidth="1"/>
    <col min="19" max="23" width="10.7109375" hidden="1" customWidth="1"/>
    <col min="24" max="25" width="10.7109375" customWidth="1"/>
  </cols>
  <sheetData>
    <row r="1" spans="1:23" x14ac:dyDescent="0.25">
      <c r="A1" s="338" t="s">
        <v>145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40"/>
    </row>
    <row r="2" spans="1:23" ht="15.75" thickBot="1" x14ac:dyDescent="0.3">
      <c r="A2" s="341"/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3"/>
    </row>
    <row r="3" spans="1:23" ht="12" customHeight="1" x14ac:dyDescent="0.25">
      <c r="A3" s="314" t="s">
        <v>66</v>
      </c>
      <c r="B3" s="239"/>
      <c r="C3" s="240" t="s">
        <v>64</v>
      </c>
      <c r="D3" s="239"/>
      <c r="E3" s="241" t="s">
        <v>65</v>
      </c>
      <c r="F3" s="242"/>
      <c r="G3" s="240" t="s">
        <v>123</v>
      </c>
      <c r="H3" s="242"/>
      <c r="I3" s="243"/>
      <c r="J3" s="244"/>
      <c r="K3" s="245"/>
      <c r="L3" s="313" t="s">
        <v>62</v>
      </c>
      <c r="M3" s="242"/>
      <c r="N3" s="313" t="s">
        <v>63</v>
      </c>
      <c r="O3" s="242"/>
    </row>
    <row r="4" spans="1:23" ht="9.75" customHeight="1" thickBot="1" x14ac:dyDescent="0.3">
      <c r="A4" s="259"/>
      <c r="B4" s="259"/>
      <c r="C4" s="259"/>
      <c r="D4" s="259"/>
      <c r="E4" s="259"/>
      <c r="F4" s="260"/>
    </row>
    <row r="5" spans="1:23" ht="12" customHeight="1" thickBot="1" x14ac:dyDescent="0.3">
      <c r="A5" s="42" t="s">
        <v>110</v>
      </c>
      <c r="B5" s="42"/>
      <c r="C5" s="268"/>
      <c r="D5" s="268"/>
      <c r="E5" s="261" t="s">
        <v>13</v>
      </c>
      <c r="F5" s="268"/>
      <c r="K5" s="332" t="s">
        <v>116</v>
      </c>
      <c r="L5" s="333"/>
      <c r="N5" s="204" t="str">
        <f>IF(L6=1,"Ver Tabla de Probabilidades","")</f>
        <v>Ver Tabla de Probabilidades</v>
      </c>
      <c r="O5" s="12"/>
    </row>
    <row r="6" spans="1:23" ht="12" customHeight="1" thickBot="1" x14ac:dyDescent="0.3">
      <c r="A6" s="346" t="s">
        <v>60</v>
      </c>
      <c r="B6" s="346"/>
      <c r="C6" s="346"/>
      <c r="D6" s="346"/>
      <c r="E6" s="346"/>
      <c r="F6" s="269"/>
      <c r="H6" s="40" t="s">
        <v>105</v>
      </c>
      <c r="I6" s="344" t="str">
        <f>IF(E21,"M/G/1","M/M/"&amp;E8&amp;IF(O12="M","/","/"&amp;O12)&amp;IF(O13="M","","/"&amp;O13))</f>
        <v>M/M/2/</v>
      </c>
      <c r="J6" s="345"/>
      <c r="K6" s="157" t="str">
        <f>IF(E21,"MG1",IF(AND(O12&lt;&gt;"M",O13&lt;&gt;"M"),"ERROR. Modelo no adminitido",IF(AND(O12="M",O13="M"),"MMc",IF(AND(O12&lt;&gt;"M",E8=1),"MM1L",IF(AND(O12&lt;&gt;"M",E8&gt;1),"MMcL","MMcK")))))</f>
        <v>MMc</v>
      </c>
      <c r="L6" s="225">
        <f>IF(K6="MMc",1,IF(K6="MMcK",2,IF(OR(K6="MM1L",K6="MMcL"),3,4)))</f>
        <v>1</v>
      </c>
      <c r="N6" s="205" t="str">
        <f>IF(L6=1,"Ver Análisis de capacidad","")</f>
        <v>Ver Análisis de capacidad</v>
      </c>
      <c r="O6" s="206"/>
    </row>
    <row r="7" spans="1:23" ht="15" customHeight="1" x14ac:dyDescent="0.25">
      <c r="A7" s="270" t="s">
        <v>0</v>
      </c>
      <c r="B7" s="270"/>
      <c r="C7" s="270"/>
      <c r="D7" s="271"/>
      <c r="E7" s="262" t="s">
        <v>3</v>
      </c>
      <c r="G7" s="50" t="s">
        <v>49</v>
      </c>
      <c r="H7" s="49"/>
      <c r="I7" s="49"/>
      <c r="J7" s="50"/>
      <c r="K7" s="51"/>
      <c r="L7" s="49"/>
      <c r="N7" s="207" t="str">
        <f>IF(L6=2,"Ver Tabla de Probabilidades","")</f>
        <v/>
      </c>
      <c r="O7" s="208"/>
      <c r="T7">
        <v>1</v>
      </c>
      <c r="U7">
        <v>2</v>
      </c>
      <c r="V7">
        <v>3</v>
      </c>
      <c r="W7">
        <v>4</v>
      </c>
    </row>
    <row r="8" spans="1:23" ht="12" customHeight="1" thickBot="1" x14ac:dyDescent="0.3">
      <c r="A8" s="45" t="s">
        <v>1</v>
      </c>
      <c r="B8" s="45"/>
      <c r="C8" s="45"/>
      <c r="D8" s="46" t="s">
        <v>2</v>
      </c>
      <c r="E8" s="326">
        <v>2</v>
      </c>
      <c r="F8" s="45"/>
      <c r="G8" s="300" t="str">
        <f>"Tasa de arribos (clientes/"&amp;E5&amp;")"</f>
        <v>Tasa de arribos (clientes/hora)</v>
      </c>
      <c r="H8" s="301"/>
      <c r="I8" s="302"/>
      <c r="J8" s="115" t="s">
        <v>17</v>
      </c>
      <c r="K8" s="327">
        <f>+lmbd</f>
        <v>60</v>
      </c>
      <c r="L8" s="117" t="str">
        <f>"cl/"&amp;E5</f>
        <v>cl/hora</v>
      </c>
      <c r="N8" s="209" t="str">
        <f>IF(L6=2,"Ver Análisis de Capacidad","")</f>
        <v/>
      </c>
      <c r="O8" s="210"/>
      <c r="S8">
        <f>IF($L$6=1,T8,IF($L$6=2,U8,IF($L$6=3,V8,IF($L$6=4,W8,""))))</f>
        <v>60</v>
      </c>
      <c r="T8">
        <f>MMc!K8</f>
        <v>60</v>
      </c>
      <c r="U8">
        <f>MMcK!$K8</f>
        <v>60</v>
      </c>
      <c r="V8">
        <f>MMcL!$K8</f>
        <v>60</v>
      </c>
      <c r="W8">
        <f>'MG1'!H9</f>
        <v>60</v>
      </c>
    </row>
    <row r="9" spans="1:23" ht="12" customHeight="1" thickBot="1" x14ac:dyDescent="0.3">
      <c r="A9" s="45" t="str">
        <f>"Tasa de arribos (por "&amp;E5&amp;")"</f>
        <v>Tasa de arribos (por hora)</v>
      </c>
      <c r="B9" s="45"/>
      <c r="C9" s="45"/>
      <c r="D9" s="47" t="s">
        <v>17</v>
      </c>
      <c r="E9" s="326">
        <v>60</v>
      </c>
      <c r="F9" s="45" t="str">
        <f>"Cl/"&amp;$E$5</f>
        <v>Cl/hora</v>
      </c>
      <c r="G9" s="132" t="str">
        <f>"Tasa de servicio (clientes/"&amp;E5&amp;")"</f>
        <v>Tasa de servicio (clientes/hora)</v>
      </c>
      <c r="H9" s="133"/>
      <c r="I9" s="134"/>
      <c r="J9" s="120" t="s">
        <v>16</v>
      </c>
      <c r="K9" s="328">
        <f>+micro</f>
        <v>66</v>
      </c>
      <c r="L9" s="42" t="str">
        <f>L8</f>
        <v>cl/hora</v>
      </c>
      <c r="N9" s="211" t="str">
        <f>IF(L6=3,"Ver Tabla de Probabilidades","")</f>
        <v/>
      </c>
      <c r="O9" s="212"/>
      <c r="S9">
        <f t="shared" ref="S9:S29" si="0">IF($L$6=1,T9,IF($L$6=2,U9,IF($L$6=3,V9,IF($L$6=4,W9,""))))</f>
        <v>66</v>
      </c>
      <c r="T9">
        <f>MMc!K9</f>
        <v>66</v>
      </c>
      <c r="U9">
        <f>MMcK!K9</f>
        <v>66</v>
      </c>
      <c r="V9">
        <f>MMcL!$K9</f>
        <v>66</v>
      </c>
      <c r="W9">
        <f>'MG1'!H8</f>
        <v>1</v>
      </c>
    </row>
    <row r="10" spans="1:23" ht="12" customHeight="1" x14ac:dyDescent="0.25">
      <c r="A10" s="45" t="str">
        <f>"Tasa de servicio (por servidor por "&amp;E5&amp;") "</f>
        <v xml:space="preserve">Tasa de servicio (por servidor por hora) </v>
      </c>
      <c r="B10" s="45"/>
      <c r="C10" s="45"/>
      <c r="D10" s="47" t="s">
        <v>16</v>
      </c>
      <c r="E10" s="326">
        <v>66</v>
      </c>
      <c r="F10" s="45" t="str">
        <f>"Cl/"&amp;$E$5</f>
        <v>Cl/hora</v>
      </c>
      <c r="G10" s="122" t="s">
        <v>19</v>
      </c>
      <c r="H10" s="41"/>
      <c r="I10" s="41"/>
      <c r="J10" s="115" t="s">
        <v>36</v>
      </c>
      <c r="K10" s="329">
        <f>S10</f>
        <v>0.45454545454545459</v>
      </c>
      <c r="L10" s="330">
        <f>K10</f>
        <v>0.45454545454545459</v>
      </c>
      <c r="S10">
        <f>IF($L$6=1,T10,IF($L$6=2,U10,IF($L$6=3,V10,IF($L$6=4,T10,""))))</f>
        <v>0.45454545454545459</v>
      </c>
      <c r="T10">
        <f>MMc!K10</f>
        <v>0.45454545454545459</v>
      </c>
      <c r="U10" t="str">
        <f>MMcK!K10</f>
        <v>Otro Modelo</v>
      </c>
      <c r="V10" t="e">
        <f>MMcL!$K10</f>
        <v>#VALUE!</v>
      </c>
    </row>
    <row r="11" spans="1:23" ht="12" customHeight="1" x14ac:dyDescent="0.25">
      <c r="A11" s="45" t="s">
        <v>144</v>
      </c>
      <c r="B11" s="45"/>
      <c r="C11" s="45"/>
      <c r="D11" s="46" t="s">
        <v>82</v>
      </c>
      <c r="E11" s="331"/>
      <c r="F11" s="45"/>
      <c r="G11" s="132" t="s">
        <v>20</v>
      </c>
      <c r="H11" s="133"/>
      <c r="I11" s="134"/>
      <c r="J11" s="120" t="s">
        <v>21</v>
      </c>
      <c r="K11" s="328">
        <f>IF(E21=FALSE,S11,'MG1'!N9)</f>
        <v>1.1458333333333335</v>
      </c>
      <c r="L11" s="42"/>
      <c r="S11">
        <f t="shared" si="0"/>
        <v>1.1458333333333335</v>
      </c>
      <c r="T11">
        <f>MMc!K11</f>
        <v>1.1458333333333335</v>
      </c>
      <c r="U11">
        <f>MMcK!K11</f>
        <v>0</v>
      </c>
      <c r="V11" t="e">
        <f ca="1">MMcL!$K11</f>
        <v>#VALUE!</v>
      </c>
      <c r="W11">
        <f>'MG1'!N9</f>
        <v>5.4545454545454595</v>
      </c>
    </row>
    <row r="12" spans="1:23" ht="12" customHeight="1" x14ac:dyDescent="0.25">
      <c r="A12" s="45" t="s">
        <v>133</v>
      </c>
      <c r="B12" s="45"/>
      <c r="C12" s="45"/>
      <c r="D12" s="46" t="s">
        <v>81</v>
      </c>
      <c r="E12" s="331"/>
      <c r="F12" s="45"/>
      <c r="G12" s="122" t="s">
        <v>22</v>
      </c>
      <c r="H12" s="41"/>
      <c r="I12" s="41"/>
      <c r="J12" s="115" t="s">
        <v>23</v>
      </c>
      <c r="K12" s="329">
        <f>IF(E21=FALSE,S12,'MG1'!N10)</f>
        <v>0.2367424242424242</v>
      </c>
      <c r="L12" s="117"/>
      <c r="N12" s="296" t="str">
        <f>IF(OR(OR(E11="M",E11="m"),E11=""),"M",E11)</f>
        <v>M</v>
      </c>
      <c r="O12" s="296" t="str">
        <f>IF(AND(N12&lt;&gt;"M",N13&lt;&gt;"M"),"M",N12)</f>
        <v>M</v>
      </c>
      <c r="S12">
        <f>IF($L$6=1,T12,IF($L$6=2,U12,IF($L$6=3,V12,IF($L$6=4,T12,""))))</f>
        <v>0.2367424242424242</v>
      </c>
      <c r="T12">
        <f>MMc!K12</f>
        <v>0.2367424242424242</v>
      </c>
      <c r="U12" t="str">
        <f>MMcK!K12</f>
        <v>Otro modelo</v>
      </c>
      <c r="V12" t="e">
        <f>MMcL!$K12</f>
        <v>#VALUE!</v>
      </c>
      <c r="W12">
        <f>'MG1'!N10</f>
        <v>4.5454545454545503</v>
      </c>
    </row>
    <row r="13" spans="1:23" ht="12" customHeight="1" x14ac:dyDescent="0.25">
      <c r="A13" s="45" t="str">
        <f>"Costo de servidor ocupado por "&amp;E5</f>
        <v>Costo de servidor ocupado por hora</v>
      </c>
      <c r="B13" s="45"/>
      <c r="C13" s="45"/>
      <c r="D13" s="46" t="s">
        <v>101</v>
      </c>
      <c r="E13" s="326"/>
      <c r="F13" s="45" t="str">
        <f>"$/"&amp;$E$5</f>
        <v>$/hora</v>
      </c>
      <c r="G13" s="132" t="s">
        <v>24</v>
      </c>
      <c r="H13" s="133"/>
      <c r="I13" s="134"/>
      <c r="J13" s="120" t="s">
        <v>25</v>
      </c>
      <c r="K13" s="328">
        <f>IF(E21=FALSE,S13,'MG1'!N11)</f>
        <v>1.9097222222222224E-2</v>
      </c>
      <c r="L13" s="42" t="str">
        <f>E5</f>
        <v>hora</v>
      </c>
      <c r="N13" s="296" t="str">
        <f>IF(OR(OR(E12="M",E12="m"),E12=""),"M",E12)</f>
        <v>M</v>
      </c>
      <c r="O13" s="296" t="str">
        <f>IF(AND(N12&lt;&gt;"M",N13&lt;&gt;"M"),N13,N13)</f>
        <v>M</v>
      </c>
      <c r="S13">
        <f t="shared" si="0"/>
        <v>1.9097222222222224E-2</v>
      </c>
      <c r="T13">
        <f>MMc!K13</f>
        <v>1.9097222222222224E-2</v>
      </c>
      <c r="U13" t="str">
        <f>MMcK!K13</f>
        <v>Otro modelo</v>
      </c>
      <c r="V13" t="e">
        <f ca="1">MMcL!$K13</f>
        <v>#VALUE!</v>
      </c>
      <c r="W13">
        <f>'MG1'!N11</f>
        <v>9.0909090909090995E-2</v>
      </c>
    </row>
    <row r="14" spans="1:23" ht="12" customHeight="1" x14ac:dyDescent="0.25">
      <c r="A14" s="45" t="str">
        <f>"Costo de servidor libre por "&amp;E5</f>
        <v>Costo de servidor libre por hora</v>
      </c>
      <c r="B14" s="45"/>
      <c r="C14" s="45"/>
      <c r="D14" s="46" t="s">
        <v>102</v>
      </c>
      <c r="E14" s="326"/>
      <c r="F14" s="45" t="str">
        <f t="shared" ref="F14:F16" si="1">"$/"&amp;$E$5</f>
        <v>$/hora</v>
      </c>
      <c r="G14" s="122" t="s">
        <v>26</v>
      </c>
      <c r="H14" s="41"/>
      <c r="I14" s="41"/>
      <c r="J14" s="115" t="s">
        <v>27</v>
      </c>
      <c r="K14" s="329">
        <f>IF(E21=FALSE,S14,'MG1'!N12)</f>
        <v>3.9457070707070701E-3</v>
      </c>
      <c r="L14" s="117" t="str">
        <f>E5</f>
        <v>hora</v>
      </c>
      <c r="S14">
        <f t="shared" si="0"/>
        <v>3.9457070707070701E-3</v>
      </c>
      <c r="T14">
        <f>MMc!K14</f>
        <v>3.9457070707070701E-3</v>
      </c>
      <c r="U14" t="str">
        <f>MMcK!K14</f>
        <v>Otro modelo</v>
      </c>
      <c r="V14" t="e">
        <f>MMcL!$K14</f>
        <v>#VALUE!</v>
      </c>
      <c r="W14">
        <f>'MG1'!N12</f>
        <v>7.5757575757575843E-2</v>
      </c>
    </row>
    <row r="15" spans="1:23" ht="12" customHeight="1" x14ac:dyDescent="0.25">
      <c r="A15" s="45" t="str">
        <f>"Costo de cliente en espera por "&amp;E5</f>
        <v>Costo de cliente en espera por hora</v>
      </c>
      <c r="B15" s="45"/>
      <c r="C15" s="45"/>
      <c r="D15" s="46" t="s">
        <v>48</v>
      </c>
      <c r="E15" s="326"/>
      <c r="F15" s="45" t="str">
        <f t="shared" si="1"/>
        <v>$/hora</v>
      </c>
      <c r="G15" s="132" t="s">
        <v>28</v>
      </c>
      <c r="H15" s="133"/>
      <c r="I15" s="134"/>
      <c r="J15" s="120" t="s">
        <v>29</v>
      </c>
      <c r="K15" s="328">
        <f>IF(E21=FALSE,S15,'MG1'!N8)</f>
        <v>0.37499999999999994</v>
      </c>
      <c r="L15" s="330">
        <f>K15</f>
        <v>0.37499999999999994</v>
      </c>
      <c r="S15">
        <f t="shared" si="0"/>
        <v>0.37499999999999994</v>
      </c>
      <c r="T15">
        <f>MMc!K15</f>
        <v>0.37499999999999994</v>
      </c>
      <c r="U15" t="str">
        <f>MMcK!K15</f>
        <v>Otro modelo</v>
      </c>
      <c r="V15" t="e">
        <f>MMcL!$K15</f>
        <v>#VALUE!</v>
      </c>
      <c r="W15">
        <f>'MG1'!N8</f>
        <v>9.0909090909090828E-2</v>
      </c>
    </row>
    <row r="16" spans="1:23" ht="12" customHeight="1" x14ac:dyDescent="0.25">
      <c r="A16" s="45" t="str">
        <f>"Costo de cliente en atención por "&amp;E5</f>
        <v>Costo de cliente en atención por hora</v>
      </c>
      <c r="B16" s="45"/>
      <c r="C16" s="45"/>
      <c r="D16" s="46" t="s">
        <v>103</v>
      </c>
      <c r="E16" s="326"/>
      <c r="F16" s="45" t="str">
        <f t="shared" si="1"/>
        <v>$/hora</v>
      </c>
      <c r="G16" s="122" t="s">
        <v>30</v>
      </c>
      <c r="H16" s="41"/>
      <c r="I16" s="41"/>
      <c r="J16" s="115" t="s">
        <v>31</v>
      </c>
      <c r="K16" s="329">
        <f ca="1">IF(E21=FALSE,S16,"")</f>
        <v>0.28409090909090917</v>
      </c>
      <c r="L16" s="330">
        <f ca="1">K16</f>
        <v>0.28409090909090917</v>
      </c>
      <c r="S16">
        <f ca="1">IF($L$6=1,T16,IF($L$6=2,U16,IF($L$6=3,V16,IF($L$6=4,T16,""))))</f>
        <v>0.28409090909090917</v>
      </c>
      <c r="T16">
        <f ca="1">MMc!K16</f>
        <v>0.28409090909090917</v>
      </c>
      <c r="U16">
        <f ca="1">MMcK!K16</f>
        <v>1</v>
      </c>
      <c r="V16" t="e">
        <f ca="1">MMcL!$K16</f>
        <v>#VALUE!</v>
      </c>
    </row>
    <row r="17" spans="1:23" ht="12" customHeight="1" x14ac:dyDescent="0.25">
      <c r="A17" s="45" t="s">
        <v>6</v>
      </c>
      <c r="B17" s="45"/>
      <c r="C17" s="45"/>
      <c r="D17" s="46" t="s">
        <v>50</v>
      </c>
      <c r="E17" s="326"/>
      <c r="F17" s="45" t="s">
        <v>126</v>
      </c>
      <c r="G17" s="297" t="str">
        <f>IF(E11&lt;&gt;"M","Media de clientes rechazados por "&amp;E5,"")</f>
        <v>Media de clientes rechazados por hora</v>
      </c>
      <c r="H17" s="298"/>
      <c r="I17" s="299"/>
      <c r="J17" s="127"/>
      <c r="K17" s="328" t="str">
        <f>IF(S17=0,"",S17)</f>
        <v/>
      </c>
      <c r="L17" s="42"/>
      <c r="S17">
        <f t="shared" ref="S17:S20" si="2">IF($L$6=1,T17,IF($L$6=2,U17,IF($L$6=3,V17,IF($L$6=4,T17,""))))</f>
        <v>0</v>
      </c>
      <c r="T17">
        <f>MMc!K17</f>
        <v>0</v>
      </c>
      <c r="U17">
        <f>MMcK!K17</f>
        <v>0</v>
      </c>
      <c r="V17" t="e">
        <f>MMcL!$K17</f>
        <v>#VALUE!</v>
      </c>
    </row>
    <row r="18" spans="1:23" ht="12" customHeight="1" x14ac:dyDescent="0.25">
      <c r="A18" s="45" t="s">
        <v>7</v>
      </c>
      <c r="B18" s="45"/>
      <c r="C18" s="45"/>
      <c r="D18" s="46" t="s">
        <v>104</v>
      </c>
      <c r="E18" s="326"/>
      <c r="F18" s="45" t="str">
        <f>"$/"&amp;$E$5</f>
        <v>$/hora</v>
      </c>
      <c r="G18" s="334" t="str">
        <f>IF($E$19&lt;&gt;"","Probabilidad de W&gt;t cuando t = "&amp;E19,"")</f>
        <v/>
      </c>
      <c r="H18" s="335"/>
      <c r="I18" s="336"/>
      <c r="J18" s="115"/>
      <c r="K18" s="329" t="str">
        <f>IF($E$19&lt;&gt;"",S18,"")</f>
        <v/>
      </c>
      <c r="L18" s="117"/>
      <c r="S18" t="str">
        <f t="shared" si="2"/>
        <v/>
      </c>
      <c r="T18" t="str">
        <f>MMc!K18</f>
        <v/>
      </c>
      <c r="U18" t="str">
        <f>MMcK!K18</f>
        <v/>
      </c>
      <c r="V18" t="e">
        <f>MMcL!$K18</f>
        <v>#VALUE!</v>
      </c>
    </row>
    <row r="19" spans="1:23" ht="12" customHeight="1" x14ac:dyDescent="0.25">
      <c r="A19" s="45" t="str">
        <f>"Tiempo de referencia ("&amp;E$5&amp;")"</f>
        <v>Tiempo de referencia (hora)</v>
      </c>
      <c r="B19" s="45"/>
      <c r="C19" s="45"/>
      <c r="D19" s="48" t="s">
        <v>18</v>
      </c>
      <c r="E19" s="326"/>
      <c r="F19" s="45" t="str">
        <f>$E$5</f>
        <v>hora</v>
      </c>
      <c r="G19" s="334" t="str">
        <f>IF($E$19&lt;&gt;"","Probabilidad de Wq&gt;t cuando t = "&amp;E19,"")</f>
        <v/>
      </c>
      <c r="H19" s="335"/>
      <c r="I19" s="336"/>
      <c r="J19" s="120"/>
      <c r="K19" s="328" t="str">
        <f>IF($E$19&lt;&gt;"",S19,"")</f>
        <v/>
      </c>
      <c r="L19" s="42"/>
      <c r="S19" t="str">
        <f t="shared" ca="1" si="2"/>
        <v/>
      </c>
      <c r="T19" t="str">
        <f ca="1">MMc!K19</f>
        <v/>
      </c>
      <c r="U19" t="str">
        <f ca="1">MMcK!K19</f>
        <v/>
      </c>
      <c r="V19" t="str">
        <f ca="1">MMcL!$K19</f>
        <v/>
      </c>
    </row>
    <row r="20" spans="1:23" ht="12" customHeight="1" x14ac:dyDescent="0.25">
      <c r="A20" s="45" t="str">
        <f>IF(E21,"Desviación estándar de la tasa de salida","")</f>
        <v/>
      </c>
      <c r="B20" s="45"/>
      <c r="C20" s="45"/>
      <c r="D20" s="272" t="str">
        <f>IF(A20="","","σ")</f>
        <v/>
      </c>
      <c r="E20" s="263"/>
      <c r="F20" s="260"/>
      <c r="G20" s="59" t="s">
        <v>32</v>
      </c>
      <c r="H20" s="227"/>
      <c r="I20" s="228"/>
      <c r="J20" s="229"/>
      <c r="K20" s="187"/>
      <c r="L20" s="60"/>
      <c r="S20">
        <f t="shared" si="2"/>
        <v>0</v>
      </c>
      <c r="T20">
        <f>MMc!K20</f>
        <v>0</v>
      </c>
      <c r="U20">
        <f>MMcK!K20</f>
        <v>0</v>
      </c>
      <c r="V20">
        <f>MMcL!$K20</f>
        <v>0</v>
      </c>
    </row>
    <row r="21" spans="1:23" ht="10.5" customHeight="1" x14ac:dyDescent="0.25">
      <c r="A21" s="167" t="s">
        <v>9</v>
      </c>
      <c r="B21" s="264"/>
      <c r="C21" s="264"/>
      <c r="D21" s="265"/>
      <c r="E21" s="266" t="b">
        <v>0</v>
      </c>
      <c r="F21" s="260"/>
      <c r="G21" s="56" t="str">
        <f>"Costo de servidor ocupado/"&amp;E5</f>
        <v>Costo de servidor ocupado/hora</v>
      </c>
      <c r="H21" s="49"/>
      <c r="I21" s="49"/>
      <c r="J21" s="52" t="s">
        <v>45</v>
      </c>
      <c r="K21" s="186" t="str">
        <f t="shared" ref="K21:K26" si="3">IF(S21=0,"",S21)</f>
        <v/>
      </c>
      <c r="L21" s="53" t="str">
        <f>"$/"&amp;$E$5</f>
        <v>$/hora</v>
      </c>
      <c r="S21">
        <f>IF($L$6=1,T21,IF($L$6=2,U21,IF($L$6=3,V21,IF($L$6=4,T21,""))))</f>
        <v>0</v>
      </c>
      <c r="T21">
        <f>MMc!K21</f>
        <v>0</v>
      </c>
      <c r="U21" t="str">
        <f>MMcK!K21</f>
        <v>Otro modelo</v>
      </c>
      <c r="V21" t="e">
        <f>MMcL!$K21</f>
        <v>#VALUE!</v>
      </c>
    </row>
    <row r="22" spans="1:23" ht="10.5" customHeight="1" x14ac:dyDescent="0.25">
      <c r="A22" s="167" t="s">
        <v>10</v>
      </c>
      <c r="B22" s="264"/>
      <c r="C22" s="264"/>
      <c r="D22" s="267"/>
      <c r="E22" s="266"/>
      <c r="F22" s="260"/>
      <c r="G22" s="62" t="str">
        <f>"Costo de servidor libre/"&amp;E5</f>
        <v>Costo de servidor libre/hora</v>
      </c>
      <c r="H22" s="63"/>
      <c r="I22" s="64"/>
      <c r="J22" s="54" t="s">
        <v>46</v>
      </c>
      <c r="K22" s="185" t="str">
        <f t="shared" si="3"/>
        <v/>
      </c>
      <c r="L22" s="53" t="str">
        <f t="shared" ref="L22:L27" si="4">"$/"&amp;$E$5</f>
        <v>$/hora</v>
      </c>
      <c r="S22">
        <f t="shared" ref="S22:S28" si="5">IF($L$6=1,T22,IF($L$6=2,U22,IF($L$6=3,V22,IF($L$6=4,T22,""))))</f>
        <v>0</v>
      </c>
      <c r="T22">
        <f>MMc!K22</f>
        <v>0</v>
      </c>
      <c r="U22" t="str">
        <f>MMcK!K22</f>
        <v>Otro modelo</v>
      </c>
      <c r="V22" t="e">
        <f>MMcL!$K22</f>
        <v>#VALUE!</v>
      </c>
    </row>
    <row r="23" spans="1:23" ht="10.5" customHeight="1" x14ac:dyDescent="0.25">
      <c r="A23" s="167" t="s">
        <v>11</v>
      </c>
      <c r="B23" s="264"/>
      <c r="C23" s="264"/>
      <c r="D23" s="267"/>
      <c r="E23" s="266"/>
      <c r="F23" s="260"/>
      <c r="G23" s="56" t="str">
        <f>"Costo de cliente en servicio/"&amp;E5</f>
        <v>Costo de cliente en servicio/hora</v>
      </c>
      <c r="H23" s="49"/>
      <c r="I23" s="49"/>
      <c r="J23" s="52" t="s">
        <v>47</v>
      </c>
      <c r="K23" s="186" t="str">
        <f t="shared" si="3"/>
        <v/>
      </c>
      <c r="L23" s="53" t="str">
        <f t="shared" si="4"/>
        <v>$/hora</v>
      </c>
      <c r="S23">
        <f>IF($L$6=1,T23,IF($L$6=2,U23,IF($L$6=3,V23,IF($L$6=4,E16*(K11-K12),""))))</f>
        <v>0</v>
      </c>
      <c r="T23">
        <f>MMc!K23</f>
        <v>0</v>
      </c>
      <c r="U23" s="231" t="str">
        <f>MMcK!K23</f>
        <v>Otro modelo</v>
      </c>
      <c r="V23" t="e">
        <f ca="1">MMcL!$K23</f>
        <v>#VALUE!</v>
      </c>
    </row>
    <row r="24" spans="1:23" ht="10.5" customHeight="1" x14ac:dyDescent="0.25">
      <c r="A24" s="167" t="s">
        <v>12</v>
      </c>
      <c r="B24" s="264"/>
      <c r="C24" s="264"/>
      <c r="D24" s="267"/>
      <c r="E24" s="266"/>
      <c r="F24" s="260"/>
      <c r="G24" s="62" t="str">
        <f>"Costo de cliente en espera/"&amp;E5</f>
        <v>Costo de cliente en espera/hora</v>
      </c>
      <c r="H24" s="63"/>
      <c r="I24" s="64"/>
      <c r="J24" s="54" t="s">
        <v>48</v>
      </c>
      <c r="K24" s="185" t="str">
        <f t="shared" si="3"/>
        <v/>
      </c>
      <c r="L24" s="53" t="str">
        <f t="shared" si="4"/>
        <v>$/hora</v>
      </c>
      <c r="S24">
        <f>IF($L$6=1,T24,IF($L$6=2,U24,IF($L$6=3,V24,IF($L$6=4,E15*K12,""))))</f>
        <v>0</v>
      </c>
      <c r="T24">
        <f>MMc!K24</f>
        <v>0</v>
      </c>
      <c r="U24" s="231" t="str">
        <f>MMcK!K24</f>
        <v>Otro modelo</v>
      </c>
      <c r="V24" t="e">
        <f>MMcL!$K24</f>
        <v>#VALUE!</v>
      </c>
    </row>
    <row r="25" spans="1:23" ht="10.5" customHeight="1" x14ac:dyDescent="0.25">
      <c r="A25" s="167" t="s">
        <v>13</v>
      </c>
      <c r="B25" s="264"/>
      <c r="C25" s="264"/>
      <c r="D25" s="267"/>
      <c r="E25" s="266"/>
      <c r="F25" s="260"/>
      <c r="G25" s="66" t="str">
        <f>"Costo de cliente rechazado/"&amp;E5</f>
        <v>Costo de cliente rechazado/hora</v>
      </c>
      <c r="H25" s="67"/>
      <c r="I25" s="68"/>
      <c r="J25" s="52" t="s">
        <v>50</v>
      </c>
      <c r="K25" s="186" t="str">
        <f t="shared" si="3"/>
        <v/>
      </c>
      <c r="L25" s="53" t="str">
        <f t="shared" si="4"/>
        <v>$/hora</v>
      </c>
      <c r="S25">
        <f>IF($L$6=1,T25,IF($L$6=2,U25,IF($L$6=3,V25,IF($L$6=4,0,""))))</f>
        <v>0</v>
      </c>
      <c r="T25">
        <f>MMc!K25</f>
        <v>0</v>
      </c>
      <c r="U25">
        <f>MMcK!K25</f>
        <v>0</v>
      </c>
      <c r="V25" t="e">
        <f>MMcL!$K25</f>
        <v>#VALUE!</v>
      </c>
    </row>
    <row r="26" spans="1:23" ht="10.5" customHeight="1" x14ac:dyDescent="0.25">
      <c r="A26" s="167" t="s">
        <v>15</v>
      </c>
      <c r="B26" s="264"/>
      <c r="C26" s="264"/>
      <c r="D26" s="267"/>
      <c r="E26" s="266"/>
      <c r="F26" s="260"/>
      <c r="G26" s="62" t="str">
        <f>"Costo de espacio de cola/"&amp;E5</f>
        <v>Costo de espacio de cola/hora</v>
      </c>
      <c r="H26" s="63"/>
      <c r="I26" s="64"/>
      <c r="J26" s="54" t="s">
        <v>51</v>
      </c>
      <c r="K26" s="185" t="str">
        <f t="shared" si="3"/>
        <v/>
      </c>
      <c r="L26" s="53" t="str">
        <f t="shared" si="4"/>
        <v>$/hora</v>
      </c>
      <c r="S26">
        <f t="shared" si="5"/>
        <v>0</v>
      </c>
      <c r="T26">
        <f>MMc!K26</f>
        <v>0</v>
      </c>
      <c r="U26">
        <f>MMcK!K26</f>
        <v>0</v>
      </c>
      <c r="V26">
        <f>MMcL!$K26</f>
        <v>0</v>
      </c>
    </row>
    <row r="27" spans="1:23" ht="10.5" customHeight="1" x14ac:dyDescent="0.25">
      <c r="A27" s="167" t="s">
        <v>14</v>
      </c>
      <c r="B27" s="264"/>
      <c r="C27" s="264"/>
      <c r="D27" s="267"/>
      <c r="E27" s="264"/>
      <c r="F27" s="260"/>
      <c r="G27" s="69" t="str">
        <f>"Costo total del sistema/"&amp;E5</f>
        <v>Costo total del sistema/hora</v>
      </c>
      <c r="H27" s="70"/>
      <c r="I27" s="70"/>
      <c r="J27" s="52" t="s">
        <v>52</v>
      </c>
      <c r="K27" s="186">
        <f>SUM(K21:K26)</f>
        <v>0</v>
      </c>
      <c r="L27" s="53" t="str">
        <f t="shared" si="4"/>
        <v>$/hora</v>
      </c>
      <c r="S27">
        <f t="shared" si="5"/>
        <v>0</v>
      </c>
      <c r="T27">
        <f>MMc!K27</f>
        <v>0</v>
      </c>
      <c r="U27">
        <f>MMcK!K27</f>
        <v>0</v>
      </c>
      <c r="V27" t="e">
        <f>MMcL!$K27</f>
        <v>#VALUE!</v>
      </c>
    </row>
    <row r="28" spans="1:23" ht="10.5" customHeight="1" x14ac:dyDescent="0.25">
      <c r="A28" s="167"/>
      <c r="B28" s="264"/>
      <c r="C28" s="264"/>
      <c r="D28" s="267"/>
      <c r="E28" s="264"/>
      <c r="F28" s="260"/>
      <c r="G28" s="66" t="s">
        <v>38</v>
      </c>
      <c r="H28" s="67"/>
      <c r="I28" s="68"/>
      <c r="J28" s="72" t="s">
        <v>41</v>
      </c>
      <c r="K28" s="85">
        <f>+K8/(K9)</f>
        <v>0.90909090909090906</v>
      </c>
      <c r="L28" s="49"/>
      <c r="S28">
        <f t="shared" si="5"/>
        <v>0.90909090909090906</v>
      </c>
      <c r="T28">
        <f>MMc!K28</f>
        <v>0.90909090909090906</v>
      </c>
      <c r="U28">
        <f>MMcK!K28</f>
        <v>0.90909090909090906</v>
      </c>
      <c r="V28">
        <f>MMcL!$K28</f>
        <v>0.90909090909090906</v>
      </c>
    </row>
    <row r="29" spans="1:23" ht="10.5" customHeight="1" x14ac:dyDescent="0.25">
      <c r="A29" s="167" t="s">
        <v>42</v>
      </c>
      <c r="B29" s="264"/>
      <c r="C29" s="264"/>
      <c r="D29" s="267"/>
      <c r="E29" s="264"/>
      <c r="F29" s="260"/>
      <c r="G29" s="337" t="s">
        <v>39</v>
      </c>
      <c r="H29" s="337"/>
      <c r="I29" s="337"/>
      <c r="J29" s="74" t="s">
        <v>40</v>
      </c>
      <c r="K29" s="85">
        <f>+K8/(cl*K9)</f>
        <v>0.45454545454545453</v>
      </c>
      <c r="L29" s="49"/>
      <c r="S29">
        <f t="shared" si="0"/>
        <v>0.45454545454545453</v>
      </c>
      <c r="T29">
        <f>MMc!K29</f>
        <v>0.45454545454545453</v>
      </c>
      <c r="U29">
        <f>MMcK!K29</f>
        <v>0.45454545454545453</v>
      </c>
      <c r="V29">
        <f>MMcL!$K29</f>
        <v>0.45454545454545453</v>
      </c>
      <c r="W29">
        <f>'MG1'!N9</f>
        <v>5.4545454545454595</v>
      </c>
    </row>
    <row r="30" spans="1:23" ht="12" customHeight="1" x14ac:dyDescent="0.25">
      <c r="A30" s="167" t="s">
        <v>43</v>
      </c>
      <c r="B30" s="264">
        <f>(Pe0*tau*(gamma^cl))/(FACT(cl)*(1-tau)^2)</f>
        <v>0.2367424242424242</v>
      </c>
      <c r="C30" s="264"/>
      <c r="D30" s="267"/>
      <c r="E30" s="264"/>
      <c r="F30" s="260"/>
    </row>
    <row r="31" spans="1:23" x14ac:dyDescent="0.25">
      <c r="A31" s="41"/>
      <c r="B31" s="259"/>
      <c r="C31" s="259"/>
      <c r="D31" s="259"/>
      <c r="E31" s="259"/>
      <c r="F31" s="260"/>
    </row>
    <row r="32" spans="1:23" x14ac:dyDescent="0.25">
      <c r="A32" s="259"/>
      <c r="B32" s="259"/>
      <c r="C32" s="259"/>
      <c r="D32" s="259"/>
      <c r="E32" s="259"/>
      <c r="F32" s="260"/>
    </row>
    <row r="33" spans="1:6" x14ac:dyDescent="0.25">
      <c r="A33" s="259"/>
      <c r="B33" s="259"/>
      <c r="C33" s="259"/>
      <c r="D33" s="259"/>
      <c r="E33" s="259"/>
      <c r="F33" s="260"/>
    </row>
    <row r="34" spans="1:6" x14ac:dyDescent="0.25">
      <c r="A34" s="259"/>
      <c r="B34" s="259"/>
      <c r="C34" s="259"/>
      <c r="D34" s="259"/>
      <c r="E34" s="259"/>
      <c r="F34" s="260"/>
    </row>
    <row r="35" spans="1:6" x14ac:dyDescent="0.25">
      <c r="A35" s="259"/>
      <c r="B35" s="259"/>
      <c r="C35" s="259"/>
      <c r="D35" s="259"/>
      <c r="E35" s="259"/>
      <c r="F35" s="260"/>
    </row>
  </sheetData>
  <sheetProtection algorithmName="SHA-512" hashValue="FLb4bb9VJF2PvIndtBegAC8/XtloJ1S0dAItqOg3YCmi4n9hD2phVSoiRBaEhX0NhAw8ZmBlLGqcQIjPPsVYzQ==" saltValue="DUZ4RxjVT0IuZM+1FE/F7Q==" spinCount="100000" sheet="1" scenarios="1"/>
  <protectedRanges>
    <protectedRange sqref="E8:E27" name="Rango1"/>
  </protectedRanges>
  <mergeCells count="7">
    <mergeCell ref="K5:L5"/>
    <mergeCell ref="G18:I18"/>
    <mergeCell ref="G19:I19"/>
    <mergeCell ref="G29:I29"/>
    <mergeCell ref="A1:O2"/>
    <mergeCell ref="I6:J6"/>
    <mergeCell ref="A6:E6"/>
  </mergeCells>
  <conditionalFormatting sqref="K6">
    <cfRule type="expression" dxfId="15" priority="5">
      <formula>"MMc"</formula>
    </cfRule>
  </conditionalFormatting>
  <conditionalFormatting sqref="L6">
    <cfRule type="cellIs" dxfId="14" priority="1" operator="equal">
      <formula>4</formula>
    </cfRule>
    <cfRule type="cellIs" dxfId="13" priority="2" operator="equal">
      <formula>3</formula>
    </cfRule>
    <cfRule type="cellIs" dxfId="12" priority="3" operator="equal">
      <formula>2</formula>
    </cfRule>
    <cfRule type="cellIs" dxfId="11" priority="4" operator="equal">
      <formula>1</formula>
    </cfRule>
  </conditionalFormatting>
  <dataValidations disablePrompts="1" count="1">
    <dataValidation type="list" allowBlank="1" showInputMessage="1" showErrorMessage="1" errorTitle="Unidad no válida" error="Seleccione la unidad de la lista desplegable" promptTitle="Seleccione" prompt="Unidad de tiempo" sqref="E5" xr:uid="{1C0DF706-B12D-4856-9013-B312523BAD4C}">
      <formula1>$A$19:$A$26</formula1>
    </dataValidation>
  </dataValidations>
  <hyperlinks>
    <hyperlink ref="N5" location="MMc!A1" display="MMc!A1" xr:uid="{A696C7C1-2E95-4E35-A0BC-54A0B94B8FA3}"/>
    <hyperlink ref="N6" location="MMc!B48" display="MMc!B48" xr:uid="{ECCBFDA8-44ED-4703-83DF-F7637348CFC1}"/>
    <hyperlink ref="N7" location="MMcK!O7" display="MMcK!O7" xr:uid="{B83AAB9E-58CE-476B-B8C0-8BC1DBFF8C7E}"/>
    <hyperlink ref="N9" location="MMcL!A1" display="MMcL!A1" xr:uid="{41C081D2-11B1-4A16-AC56-F4FF59D04E9A}"/>
    <hyperlink ref="N8" location="MMcK!A43" display="MMcK!A43" xr:uid="{095E65B2-08F9-4175-A638-A8E45AEAB419}"/>
    <hyperlink ref="C3" location="MMcK!A1" display="Ir a M/M/c//K" xr:uid="{79D94471-6373-4599-8C29-7841720EBC32}"/>
    <hyperlink ref="E3" location="MMcL!A1" display="ir a M/M/c/L" xr:uid="{CC22B610-8DE5-4A63-A50B-EF8225DF89A9}"/>
    <hyperlink ref="G3" location="'MG1'!A1" display="ir a M/G/1" xr:uid="{CA4F59E0-FDD2-4970-874A-D6FDC52F0F35}"/>
    <hyperlink ref="L3" location="Ayuda!A1" display="ayuda" xr:uid="{C8335277-90DC-46B4-8286-7C0D3EFC97A2}"/>
    <hyperlink ref="A3" location="MMc!A1" display="Ir a M/M/c" xr:uid="{7F63FFB7-CAE8-44FD-8BB0-883C79E02F66}"/>
    <hyperlink ref="N3" location="Ayuda!AT1" display="documentación" xr:uid="{E5744313-D252-43C3-8CC2-B98517E9294E}"/>
  </hyperlinks>
  <pageMargins left="0.7" right="0.7" top="0.75" bottom="0.75" header="0.3" footer="0.3"/>
  <pageSetup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9" r:id="rId4" name="Check Box 15">
              <controlPr locked="0" defaultSize="0" autoFill="0" autoLine="0" autoPict="0" altText="MG1">
                <anchor moveWithCells="1">
                  <from>
                    <xdr:col>3</xdr:col>
                    <xdr:colOff>781050</xdr:colOff>
                    <xdr:row>20</xdr:row>
                    <xdr:rowOff>19050</xdr:rowOff>
                  </from>
                  <to>
                    <xdr:col>4</xdr:col>
                    <xdr:colOff>752475</xdr:colOff>
                    <xdr:row>22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43B6E-C88A-4C60-B31D-70EE3041A737}">
  <sheetPr codeName="Hoja1">
    <tabColor theme="8" tint="-0.249977111117893"/>
  </sheetPr>
  <dimension ref="A1:AQ108"/>
  <sheetViews>
    <sheetView showGridLines="0" workbookViewId="0">
      <selection activeCell="A3" sqref="A3"/>
    </sheetView>
  </sheetViews>
  <sheetFormatPr baseColWidth="10" defaultRowHeight="15" x14ac:dyDescent="0.25"/>
  <cols>
    <col min="1" max="1" width="19.140625" customWidth="1"/>
    <col min="2" max="2" width="10.5703125" customWidth="1"/>
    <col min="3" max="3" width="8.28515625" customWidth="1"/>
    <col min="4" max="4" width="8.5703125" style="1" customWidth="1"/>
    <col min="6" max="6" width="3.7109375" customWidth="1"/>
    <col min="9" max="9" width="13.5703125" customWidth="1"/>
    <col min="10" max="10" width="9" style="3" customWidth="1"/>
    <col min="11" max="11" width="11.42578125" style="5"/>
    <col min="12" max="12" width="14.140625" bestFit="1" customWidth="1"/>
    <col min="13" max="13" width="5.5703125" customWidth="1"/>
    <col min="16" max="16" width="11.42578125" customWidth="1"/>
    <col min="17" max="17" width="11.85546875" style="6" hidden="1" customWidth="1"/>
    <col min="18" max="19" width="11.42578125" hidden="1" customWidth="1"/>
    <col min="20" max="20" width="4.7109375" hidden="1" customWidth="1"/>
    <col min="21" max="21" width="11.85546875" hidden="1" customWidth="1"/>
    <col min="22" max="23" width="11.42578125" hidden="1" customWidth="1"/>
    <col min="24" max="24" width="5.140625" hidden="1" customWidth="1"/>
    <col min="25" max="27" width="11.42578125" hidden="1" customWidth="1"/>
    <col min="28" max="28" width="4.140625" hidden="1" customWidth="1"/>
    <col min="29" max="31" width="11.42578125" hidden="1" customWidth="1"/>
    <col min="32" max="32" width="5" hidden="1" customWidth="1"/>
    <col min="33" max="35" width="11.42578125" hidden="1" customWidth="1"/>
    <col min="36" max="36" width="4.42578125" hidden="1" customWidth="1"/>
    <col min="37" max="39" width="11.42578125" hidden="1" customWidth="1"/>
    <col min="40" max="40" width="4.85546875" hidden="1" customWidth="1"/>
    <col min="41" max="41" width="11.85546875" hidden="1" customWidth="1"/>
    <col min="42" max="43" width="11.42578125" hidden="1" customWidth="1"/>
  </cols>
  <sheetData>
    <row r="1" spans="1:43" x14ac:dyDescent="0.25">
      <c r="A1" s="358" t="str">
        <f>IF(L6="no corresponde!","Esta Hoja no corresponde al modelo ingresado","Hoja "&amp;L6&amp;" -- ANALISIS DE COLAS - OPTIMIZA - VER. 20.1.1")</f>
        <v>Hoja MMc -- ANALISIS DE COLAS - OPTIMIZA - VER. 20.1.1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60"/>
      <c r="AO1">
        <v>6</v>
      </c>
    </row>
    <row r="2" spans="1:43" ht="15.75" thickBot="1" x14ac:dyDescent="0.3">
      <c r="A2" s="361"/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3"/>
    </row>
    <row r="3" spans="1:43" ht="12.75" customHeight="1" x14ac:dyDescent="0.4">
      <c r="A3" s="199" t="s">
        <v>124</v>
      </c>
      <c r="B3" s="199" t="s">
        <v>64</v>
      </c>
      <c r="C3" s="200"/>
      <c r="D3" s="232" t="s">
        <v>65</v>
      </c>
      <c r="E3" s="200"/>
      <c r="F3" s="200"/>
      <c r="G3" s="199" t="s">
        <v>123</v>
      </c>
      <c r="H3" s="200"/>
      <c r="I3" s="201"/>
      <c r="J3" s="202"/>
      <c r="K3" s="203"/>
      <c r="L3" s="233" t="s">
        <v>62</v>
      </c>
      <c r="M3" s="200"/>
      <c r="N3" s="315" t="s">
        <v>63</v>
      </c>
      <c r="O3" s="200"/>
    </row>
    <row r="4" spans="1:43" s="158" customFormat="1" ht="13.5" customHeight="1" thickBot="1" x14ac:dyDescent="0.3">
      <c r="A4" s="221" t="s">
        <v>8</v>
      </c>
      <c r="B4" s="221"/>
      <c r="C4" s="221"/>
      <c r="D4" s="222"/>
      <c r="E4" s="223" t="str">
        <f>DATOS!E5</f>
        <v>hora</v>
      </c>
      <c r="G4" s="364" t="s">
        <v>61</v>
      </c>
      <c r="H4" s="365"/>
      <c r="I4" s="366"/>
      <c r="J4" s="159"/>
      <c r="K4" s="160"/>
      <c r="Q4" s="161"/>
    </row>
    <row r="5" spans="1:43" ht="15.75" thickBot="1" x14ac:dyDescent="0.3">
      <c r="A5" s="350" t="s">
        <v>111</v>
      </c>
      <c r="B5" s="351"/>
      <c r="C5" s="351"/>
      <c r="D5" s="351"/>
      <c r="E5" s="352"/>
      <c r="I5" s="17" t="str">
        <f>IF(LEN(J6)&gt;7,"VER RESULTADO EN LA HOJA CORRESPONDIENTE AL MODELO INGRESADO","")</f>
        <v/>
      </c>
      <c r="L5" s="147" t="s">
        <v>113</v>
      </c>
      <c r="Q5" s="6">
        <f>1-SUM(S:S)</f>
        <v>0.45454545454545459</v>
      </c>
      <c r="S5" s="5"/>
      <c r="U5" s="6">
        <f>+$K$8/(clplus1*$K$9)</f>
        <v>0.30303030303030304</v>
      </c>
      <c r="W5" s="5"/>
      <c r="Y5" s="6">
        <f>+$K$8/(clplus2*$K$9)</f>
        <v>0.22727272727272727</v>
      </c>
      <c r="AC5" s="6">
        <f>+$K$8/(clplus3*$K$9)</f>
        <v>0.18181818181818182</v>
      </c>
      <c r="AG5" s="6">
        <f>+$K$8/(clplus4*$K$9)</f>
        <v>0.15151515151515152</v>
      </c>
      <c r="AK5" s="6">
        <f>+$K$8/(clplus5*$K$9)</f>
        <v>0.12987012987012986</v>
      </c>
      <c r="AO5" s="6">
        <f>+$K$8/(clminus1*$K$9)</f>
        <v>0.11363636363636363</v>
      </c>
    </row>
    <row r="6" spans="1:43" ht="15.75" thickBot="1" x14ac:dyDescent="0.3">
      <c r="A6" s="353"/>
      <c r="B6" s="354"/>
      <c r="C6" s="354"/>
      <c r="D6" s="354"/>
      <c r="E6" s="355"/>
      <c r="I6" s="40" t="s">
        <v>105</v>
      </c>
      <c r="J6" s="344" t="str">
        <f>"M/M/"&amp;E8&amp;IF(E11="M","/","/"&amp;E11)&amp;IF(E12="M","","/"&amp;E12)</f>
        <v>M/M/2/</v>
      </c>
      <c r="K6" s="345"/>
      <c r="L6" s="145" t="str">
        <f>IF(DATOS!K6="MMc",DATOS!K6,"no corresponde!")</f>
        <v>MMc</v>
      </c>
      <c r="M6" s="347" t="s">
        <v>112</v>
      </c>
      <c r="N6" s="348"/>
      <c r="O6" s="349"/>
      <c r="Q6" s="8">
        <f>cl</f>
        <v>2</v>
      </c>
      <c r="U6">
        <f>cl+1</f>
        <v>3</v>
      </c>
      <c r="Y6">
        <f>cl+2</f>
        <v>4</v>
      </c>
      <c r="AC6">
        <f>cl+3</f>
        <v>5</v>
      </c>
      <c r="AG6">
        <f>cl+4</f>
        <v>6</v>
      </c>
      <c r="AK6">
        <f>cl+5</f>
        <v>7</v>
      </c>
      <c r="AO6">
        <f>cl+6</f>
        <v>8</v>
      </c>
    </row>
    <row r="7" spans="1:43" x14ac:dyDescent="0.25">
      <c r="A7" s="90" t="s">
        <v>125</v>
      </c>
      <c r="B7" s="4"/>
      <c r="C7" s="4"/>
      <c r="D7" s="2"/>
      <c r="E7" s="1" t="s">
        <v>119</v>
      </c>
      <c r="G7" s="3" t="s">
        <v>49</v>
      </c>
      <c r="M7" s="149" t="s">
        <v>33</v>
      </c>
      <c r="N7" s="149" t="s">
        <v>34</v>
      </c>
      <c r="O7" s="149" t="s">
        <v>35</v>
      </c>
      <c r="Q7" s="6" t="s">
        <v>34</v>
      </c>
      <c r="R7" t="s">
        <v>37</v>
      </c>
      <c r="S7" t="s">
        <v>44</v>
      </c>
      <c r="U7" s="6" t="s">
        <v>34</v>
      </c>
      <c r="V7" t="s">
        <v>37</v>
      </c>
      <c r="W7" t="s">
        <v>44</v>
      </c>
      <c r="Y7" s="6" t="s">
        <v>34</v>
      </c>
      <c r="Z7" t="s">
        <v>37</v>
      </c>
      <c r="AA7" t="s">
        <v>44</v>
      </c>
      <c r="AC7" s="6" t="s">
        <v>34</v>
      </c>
      <c r="AD7" t="s">
        <v>37</v>
      </c>
      <c r="AE7" t="s">
        <v>44</v>
      </c>
      <c r="AG7" s="6" t="s">
        <v>34</v>
      </c>
      <c r="AH7" t="s">
        <v>37</v>
      </c>
      <c r="AI7" t="s">
        <v>44</v>
      </c>
      <c r="AK7" s="6" t="s">
        <v>34</v>
      </c>
      <c r="AL7" t="s">
        <v>37</v>
      </c>
      <c r="AM7" t="s">
        <v>44</v>
      </c>
      <c r="AO7" s="6" t="s">
        <v>34</v>
      </c>
      <c r="AP7" t="s">
        <v>37</v>
      </c>
      <c r="AQ7" t="s">
        <v>44</v>
      </c>
    </row>
    <row r="8" spans="1:43" s="49" customFormat="1" ht="10.5" customHeight="1" x14ac:dyDescent="0.2">
      <c r="A8" s="76" t="s">
        <v>1</v>
      </c>
      <c r="B8" s="76"/>
      <c r="C8" s="76"/>
      <c r="D8" s="77" t="s">
        <v>2</v>
      </c>
      <c r="E8" s="162">
        <f>DATOS!E8</f>
        <v>2</v>
      </c>
      <c r="G8" s="376" t="str">
        <f>"Tasa de arribos (clientes/"&amp;E4&amp;")"</f>
        <v>Tasa de arribos (clientes/hora)</v>
      </c>
      <c r="H8" s="377"/>
      <c r="I8" s="378"/>
      <c r="J8" s="52" t="s">
        <v>17</v>
      </c>
      <c r="K8" s="188">
        <f>+lmbd</f>
        <v>60</v>
      </c>
      <c r="L8" s="53" t="str">
        <f>"cl/"&amp;E4</f>
        <v>cl/hora</v>
      </c>
      <c r="M8" s="75">
        <v>0</v>
      </c>
      <c r="N8" s="192">
        <f>IF(pop="M",Q8,MMcK!N8)</f>
        <v>0.37499999999999994</v>
      </c>
      <c r="O8" s="192">
        <f>N8</f>
        <v>0.37499999999999994</v>
      </c>
      <c r="Q8" s="79">
        <f>IF(cl=0,gamma,1/((SUM($R$8:$R$108)+(gamma^cl)/((FACT(cl)*(1-tau))))))</f>
        <v>0.37499999999999994</v>
      </c>
      <c r="R8" s="49">
        <f>IF(M8&lt;cl,((gamma)^M8)/FACT(M8),0)</f>
        <v>1</v>
      </c>
      <c r="S8" s="79">
        <f>Q8</f>
        <v>0.37499999999999994</v>
      </c>
      <c r="U8" s="51">
        <f>IF(clplus1=0,gamma,1/((SUM(V:V)+(gamma^clplus1)/((FACT(clplus1)*(1-coso2))))))</f>
        <v>0.39968404423380721</v>
      </c>
      <c r="V8" s="49">
        <f>IF(M8&lt;clplus1,((gamma)^M8)/FACT(M8),0)</f>
        <v>1</v>
      </c>
      <c r="W8" s="51">
        <f>U8</f>
        <v>0.39968404423380721</v>
      </c>
      <c r="Y8" s="79">
        <f>IF(clplus2=0,gamma,1/((SUM(Z:Z)+(gamma^clplus2)/((FACT(clplus2)*(1-Y5))))))</f>
        <v>0.40251777444393716</v>
      </c>
      <c r="Z8" s="49">
        <f>IF($M8&lt;clplus2,((gamma)^$M8)/FACT($M8),0)</f>
        <v>1</v>
      </c>
      <c r="AA8" s="79">
        <f>Y8</f>
        <v>0.40251777444393716</v>
      </c>
      <c r="AC8" s="79">
        <f>IF(clplus3=0,gamma,1/((SUM(AD:AD)+(gamma^clplus3)/((FACT(clplus3)*(1-AC5))))))</f>
        <v>0.40284955216518886</v>
      </c>
      <c r="AD8" s="49" cm="1">
        <f t="array" ref="AD8">IF($M8&lt;clplus3,((gamma)^$M8)/FACT($M8),0)</f>
        <v>1</v>
      </c>
      <c r="AE8" s="79">
        <f>AC8</f>
        <v>0.40284955216518886</v>
      </c>
      <c r="AG8" s="79">
        <f>IF(clplus4=0,gamma,1/((SUM(AH:AH)+(gamma^clplus4)/((FACT(clplus4)*(1-AG5))))))</f>
        <v>0.40288621050231543</v>
      </c>
      <c r="AH8" s="49">
        <f>IF($M8&lt;clplus4,((gamma)^$M8)/FACT($M8),0)</f>
        <v>1</v>
      </c>
      <c r="AI8" s="79">
        <f>AG8</f>
        <v>0.40288621050231543</v>
      </c>
      <c r="AK8" s="79">
        <f>IF(clplus5=0,gamma,1/((SUM(AL:AL)+(gamma^clplus5)/((FACT(clplus5)*(1-AK5))))))</f>
        <v>0.40288994137196749</v>
      </c>
      <c r="AL8" s="49">
        <f>IF($M8&lt;clplus5,((gamma)^$M8)/FACT($M8),0)</f>
        <v>1</v>
      </c>
      <c r="AM8" s="79">
        <f>AK8</f>
        <v>0.40288994137196749</v>
      </c>
      <c r="AO8" s="79">
        <f>IF(clminus1=0,gamma,1/((SUM(AP:AP)+(gamma^clminus1)/((FACT(clminus1)*(1-AO5))))))</f>
        <v>0.40289028924212344</v>
      </c>
      <c r="AP8" s="49">
        <f>IF($M8&lt;clminus1,((gamma)^$M8)/FACT($M8),0)</f>
        <v>1</v>
      </c>
      <c r="AQ8" s="79">
        <f>AO8</f>
        <v>0.40289028924212344</v>
      </c>
    </row>
    <row r="9" spans="1:43" s="49" customFormat="1" ht="10.5" customHeight="1" x14ac:dyDescent="0.2">
      <c r="A9" s="76" t="str">
        <f>"Tasa de arribos (por "&amp;E4&amp;")"</f>
        <v>Tasa de arribos (por hora)</v>
      </c>
      <c r="B9" s="76"/>
      <c r="C9" s="76"/>
      <c r="D9" s="80" t="s">
        <v>17</v>
      </c>
      <c r="E9" s="162">
        <f>DATOS!E9</f>
        <v>60</v>
      </c>
      <c r="G9" s="367" t="str">
        <f>"Tasa de servicio (clientes/"&amp;E4&amp;")"</f>
        <v>Tasa de servicio (clientes/hora)</v>
      </c>
      <c r="H9" s="368"/>
      <c r="I9" s="369"/>
      <c r="J9" s="54" t="s">
        <v>16</v>
      </c>
      <c r="K9" s="189">
        <f>+micro</f>
        <v>66</v>
      </c>
      <c r="L9" s="55" t="str">
        <f>L8</f>
        <v>cl/hora</v>
      </c>
      <c r="M9" s="75">
        <v>1</v>
      </c>
      <c r="N9" s="192">
        <f t="shared" ref="N9:N39" si="0">IF(pop="M",Q9,"")</f>
        <v>0.34090909090909083</v>
      </c>
      <c r="O9" s="192">
        <f>O8+N9</f>
        <v>0.71590909090909083</v>
      </c>
      <c r="Q9" s="79">
        <f t="shared" ref="Q9:Q40" si="1">IF(M9&lt;cl,Q8*(gamma/M9),Q8*(gamma/cl))</f>
        <v>0.34090909090909083</v>
      </c>
      <c r="R9" s="49">
        <f t="shared" ref="R9:R40" si="2">IF(M9&lt;cl,((gamma)^M9)/(FACT(M9)),0)</f>
        <v>0.90909090909090906</v>
      </c>
      <c r="S9" s="49">
        <f>IF(M9&lt;cl,(Q9*((cl-1)/cl)),0)</f>
        <v>0.17045454545454541</v>
      </c>
      <c r="U9" s="51">
        <f t="shared" ref="U9:U40" si="3">IF(M9&lt;clplus1,U8*(gamma/M9),U8*(gamma/clplus1))</f>
        <v>0.36334913112164291</v>
      </c>
      <c r="V9" s="49">
        <f t="shared" ref="V9:V40" si="4">IF(M9&lt;clplus1,((gamma)^M9)/(FACT(M9)),0)</f>
        <v>0.90909090909090906</v>
      </c>
      <c r="W9" s="51">
        <f t="shared" ref="W9:W40" si="5">IF(M9&lt;clplus1,(((clplus1-M9)/clplus1)*U9),0)</f>
        <v>0.24223275408109526</v>
      </c>
      <c r="Y9" s="79">
        <f t="shared" ref="Y9:Y40" si="6">IF($M9&lt;clplus2,Y8*(gamma/M9),Y8*(gamma/clplus2))</f>
        <v>0.36592524949448829</v>
      </c>
      <c r="Z9" s="49">
        <f t="shared" ref="Z9:Z40" si="7">IF($M9&lt;clplus2,((gamma)^$M9)/(FACT($M9)),0)</f>
        <v>0.90909090909090906</v>
      </c>
      <c r="AA9" s="49">
        <f t="shared" ref="AA9:AA40" si="8">IF($M9&lt;clplus2,(((clplus2-1)/clplus2)*Y9),0)</f>
        <v>0.27444393712086623</v>
      </c>
      <c r="AC9" s="79">
        <f t="shared" ref="AC9:AC40" si="9">IF($M9&lt;clplus3,AC8*(gamma/$M9),AC8*(gamma/clplus3))</f>
        <v>0.36622686560471712</v>
      </c>
      <c r="AD9" s="49" cm="1">
        <f t="array" ref="AD9">IF($M9&lt;clplus3,((gamma)^$M9)/(FACT($M9)),0)</f>
        <v>0.90909090909090906</v>
      </c>
      <c r="AE9" s="49" cm="1">
        <f t="array" ref="AE9">IF($M9&lt;clplus3,(((clplus3-1)/clplus3)*AC9),0)</f>
        <v>0.2929814924837737</v>
      </c>
      <c r="AG9" s="79">
        <f t="shared" ref="AG9:AG40" si="10">IF($M9&lt;clplus4,AG8*(gamma/$M9),AG8*(gamma/clplus4))</f>
        <v>0.36626019136574128</v>
      </c>
      <c r="AH9" s="49">
        <f t="shared" ref="AH9:AH40" si="11">IF($M9&lt;clplus4,((gamma)^$M9)/(FACT($M9)),0)</f>
        <v>0.90909090909090906</v>
      </c>
      <c r="AI9" s="49">
        <f t="shared" ref="AI9:AI40" si="12">IF($M9&lt;clplus4,(((clplus4-1)/clplus4)*AG9),0)</f>
        <v>0.30521682613811774</v>
      </c>
      <c r="AK9" s="79">
        <f t="shared" ref="AK9:AK40" si="13">IF($M9&lt;clplus5,AK8*(gamma/$M9),AK8*(gamma/clplus5))</f>
        <v>0.366263583065425</v>
      </c>
      <c r="AL9" s="49">
        <f t="shared" ref="AL9:AL40" si="14">IF($M9&lt;clplus5,((gamma)^$M9)/(FACT($M9)),0)</f>
        <v>0.90909090909090906</v>
      </c>
      <c r="AM9" s="49">
        <f t="shared" ref="AM9:AM40" si="15">IF($M9&lt;clplus5,(((clplus5-1)/clplus5)*AK9),0)</f>
        <v>0.31394021405607858</v>
      </c>
      <c r="AO9" s="79">
        <f t="shared" ref="AO9:AO40" si="16">IF($M9&lt;clminus1,AO8*(gamma/$M9),AO8*(gamma/clminus1))</f>
        <v>0.36626389931102132</v>
      </c>
      <c r="AP9" s="49">
        <f t="shared" ref="AP9:AP40" si="17">IF($M9&lt;clminus1,((gamma)^$M9)/(FACT($M9)),0)</f>
        <v>0.90909090909090906</v>
      </c>
      <c r="AQ9" s="49">
        <f t="shared" ref="AQ9:AQ40" si="18">IF($M9&lt;clminus1,(((clminus1-1)/clminus1)*AO9),0)</f>
        <v>0.32048091189714367</v>
      </c>
    </row>
    <row r="10" spans="1:43" s="49" customFormat="1" ht="10.5" customHeight="1" x14ac:dyDescent="0.2">
      <c r="A10" s="76" t="str">
        <f>"Tasa de servicio (por servidor por "&amp;E4&amp;") "</f>
        <v xml:space="preserve">Tasa de servicio (por servidor por hora) </v>
      </c>
      <c r="B10" s="76"/>
      <c r="C10" s="76"/>
      <c r="D10" s="80" t="s">
        <v>16</v>
      </c>
      <c r="E10" s="163">
        <f>DATOS!E10</f>
        <v>66</v>
      </c>
      <c r="G10" s="56" t="s">
        <v>19</v>
      </c>
      <c r="J10" s="52" t="s">
        <v>36</v>
      </c>
      <c r="K10" s="190">
        <f>1-(N8+SUM(S9:S109))</f>
        <v>0.45454545454545459</v>
      </c>
      <c r="L10" s="148">
        <f>K10</f>
        <v>0.45454545454545459</v>
      </c>
      <c r="M10" s="75">
        <v>2</v>
      </c>
      <c r="N10" s="192">
        <f t="shared" si="0"/>
        <v>0.15495867768595037</v>
      </c>
      <c r="O10" s="192">
        <f t="shared" ref="O10:O73" si="19">O9+N10</f>
        <v>0.87086776859504123</v>
      </c>
      <c r="Q10" s="79">
        <f t="shared" si="1"/>
        <v>0.15495867768595037</v>
      </c>
      <c r="R10" s="49">
        <f t="shared" si="2"/>
        <v>0</v>
      </c>
      <c r="S10" s="49">
        <f t="shared" ref="S10:S41" si="20">IF(M10&lt;cl,(((cl-M10)/cl)*Q10),0)</f>
        <v>0</v>
      </c>
      <c r="U10" s="51">
        <f t="shared" si="3"/>
        <v>0.16515869596438312</v>
      </c>
      <c r="V10" s="49">
        <f t="shared" si="4"/>
        <v>0.41322314049586772</v>
      </c>
      <c r="W10" s="51">
        <f t="shared" si="5"/>
        <v>5.5052898654794374E-2</v>
      </c>
      <c r="Y10" s="79">
        <f t="shared" si="6"/>
        <v>0.16632965886113105</v>
      </c>
      <c r="Z10" s="49">
        <f t="shared" si="7"/>
        <v>0.41322314049586772</v>
      </c>
      <c r="AA10" s="49">
        <f t="shared" si="8"/>
        <v>0.12474724414584829</v>
      </c>
      <c r="AC10" s="79">
        <f t="shared" si="9"/>
        <v>0.16646675709305322</v>
      </c>
      <c r="AD10" s="49" cm="1">
        <f t="array" ref="AD10">IF($M10&lt;clplus3,((gamma)^$M10)/(FACT($M10)),0)</f>
        <v>0.41322314049586772</v>
      </c>
      <c r="AE10" s="49" cm="1">
        <f t="array" ref="AE10">IF($M10&lt;clplus3,(((clplus3-1)/clplus3)*AC10),0)</f>
        <v>0.13317340567444258</v>
      </c>
      <c r="AG10" s="79">
        <f t="shared" si="10"/>
        <v>0.16648190516624603</v>
      </c>
      <c r="AH10" s="49">
        <f t="shared" si="11"/>
        <v>0.41322314049586772</v>
      </c>
      <c r="AI10" s="49">
        <f t="shared" si="12"/>
        <v>0.13873492097187171</v>
      </c>
      <c r="AK10" s="79">
        <f t="shared" si="13"/>
        <v>0.16648344684792046</v>
      </c>
      <c r="AL10" s="49">
        <f t="shared" si="14"/>
        <v>0.41322314049586772</v>
      </c>
      <c r="AM10" s="49">
        <f t="shared" si="15"/>
        <v>0.14270009729821753</v>
      </c>
      <c r="AO10" s="79">
        <f t="shared" si="16"/>
        <v>0.16648359059591877</v>
      </c>
      <c r="AP10" s="49">
        <f t="shared" si="17"/>
        <v>0.41322314049586772</v>
      </c>
      <c r="AQ10" s="49">
        <f t="shared" si="18"/>
        <v>0.14567314177142893</v>
      </c>
    </row>
    <row r="11" spans="1:43" s="49" customFormat="1" ht="10.5" customHeight="1" x14ac:dyDescent="0.2">
      <c r="A11" s="76" t="s">
        <v>4</v>
      </c>
      <c r="B11" s="76"/>
      <c r="C11" s="76"/>
      <c r="D11" s="77" t="s">
        <v>82</v>
      </c>
      <c r="E11" s="163" t="str">
        <f>UPPER(DATOS!O12)</f>
        <v>M</v>
      </c>
      <c r="G11" s="367" t="s">
        <v>20</v>
      </c>
      <c r="H11" s="368"/>
      <c r="I11" s="369"/>
      <c r="J11" s="54" t="s">
        <v>21</v>
      </c>
      <c r="K11" s="189">
        <f>lmbd*K13</f>
        <v>1.1458333333333335</v>
      </c>
      <c r="L11" s="55"/>
      <c r="M11" s="75">
        <v>3</v>
      </c>
      <c r="N11" s="192">
        <f t="shared" si="0"/>
        <v>7.0435762584522887E-2</v>
      </c>
      <c r="O11" s="192">
        <f t="shared" si="19"/>
        <v>0.94130353117956411</v>
      </c>
      <c r="Q11" s="79">
        <f t="shared" si="1"/>
        <v>7.0435762584522887E-2</v>
      </c>
      <c r="R11" s="49">
        <f t="shared" si="2"/>
        <v>0</v>
      </c>
      <c r="S11" s="49">
        <f t="shared" si="20"/>
        <v>0</v>
      </c>
      <c r="U11" s="51">
        <f t="shared" si="3"/>
        <v>5.0048089686176703E-2</v>
      </c>
      <c r="V11" s="49">
        <f t="shared" si="4"/>
        <v>0</v>
      </c>
      <c r="W11" s="51">
        <f t="shared" si="5"/>
        <v>0</v>
      </c>
      <c r="Y11" s="79">
        <f t="shared" si="6"/>
        <v>5.0402926927615471E-2</v>
      </c>
      <c r="Z11" s="49">
        <f t="shared" si="7"/>
        <v>0.12521913348359628</v>
      </c>
      <c r="AA11" s="49">
        <f t="shared" si="8"/>
        <v>3.7802195195711603E-2</v>
      </c>
      <c r="AC11" s="79">
        <f t="shared" si="9"/>
        <v>5.0444471846379769E-2</v>
      </c>
      <c r="AD11" s="49" cm="1">
        <f t="array" ref="AD11">IF($M11&lt;clplus3,((gamma)^$M11)/(FACT($M11)),0)</f>
        <v>0.12521913348359628</v>
      </c>
      <c r="AE11" s="49" cm="1">
        <f t="array" ref="AE11">IF($M11&lt;clplus3,(((clplus3-1)/clplus3)*AC11),0)</f>
        <v>4.0355577477103818E-2</v>
      </c>
      <c r="AG11" s="79">
        <f t="shared" si="10"/>
        <v>5.0449062171589711E-2</v>
      </c>
      <c r="AH11" s="49">
        <f t="shared" si="11"/>
        <v>0.12521913348359628</v>
      </c>
      <c r="AI11" s="49">
        <f t="shared" si="12"/>
        <v>4.2040885142991424E-2</v>
      </c>
      <c r="AK11" s="79">
        <f t="shared" si="13"/>
        <v>5.0449529347854689E-2</v>
      </c>
      <c r="AL11" s="49">
        <f t="shared" si="14"/>
        <v>0.12521913348359628</v>
      </c>
      <c r="AM11" s="49">
        <f t="shared" si="15"/>
        <v>4.3242453726732591E-2</v>
      </c>
      <c r="AO11" s="79">
        <f t="shared" si="16"/>
        <v>5.0449572907854172E-2</v>
      </c>
      <c r="AP11" s="49">
        <f t="shared" si="17"/>
        <v>0.12521913348359628</v>
      </c>
      <c r="AQ11" s="49">
        <f t="shared" si="18"/>
        <v>4.41433762943724E-2</v>
      </c>
    </row>
    <row r="12" spans="1:43" s="49" customFormat="1" ht="10.5" customHeight="1" x14ac:dyDescent="0.2">
      <c r="A12" s="76" t="s">
        <v>5</v>
      </c>
      <c r="B12" s="76"/>
      <c r="C12" s="76"/>
      <c r="D12" s="77" t="s">
        <v>81</v>
      </c>
      <c r="E12" s="163" t="str">
        <f>UPPER(DATOS!O13)</f>
        <v>M</v>
      </c>
      <c r="G12" s="56" t="s">
        <v>22</v>
      </c>
      <c r="J12" s="52" t="s">
        <v>23</v>
      </c>
      <c r="K12" s="190">
        <f>eleq1</f>
        <v>0.2367424242424242</v>
      </c>
      <c r="L12" s="53"/>
      <c r="M12" s="75">
        <v>4</v>
      </c>
      <c r="N12" s="192">
        <f t="shared" si="0"/>
        <v>3.2016255720237675E-2</v>
      </c>
      <c r="O12" s="192">
        <f t="shared" si="19"/>
        <v>0.97331978689980181</v>
      </c>
      <c r="Q12" s="79">
        <f t="shared" si="1"/>
        <v>3.2016255720237675E-2</v>
      </c>
      <c r="R12" s="49">
        <f t="shared" si="2"/>
        <v>0</v>
      </c>
      <c r="S12" s="49">
        <f t="shared" si="20"/>
        <v>0</v>
      </c>
      <c r="U12" s="51">
        <f t="shared" si="3"/>
        <v>1.516608778368991E-2</v>
      </c>
      <c r="V12" s="49">
        <f t="shared" si="4"/>
        <v>0</v>
      </c>
      <c r="W12" s="51">
        <f t="shared" si="5"/>
        <v>0</v>
      </c>
      <c r="Y12" s="79">
        <f t="shared" si="6"/>
        <v>1.1455210665367152E-2</v>
      </c>
      <c r="Z12" s="49">
        <f t="shared" si="7"/>
        <v>0</v>
      </c>
      <c r="AA12" s="49">
        <f t="shared" si="8"/>
        <v>0</v>
      </c>
      <c r="AC12" s="79">
        <f t="shared" si="9"/>
        <v>1.1464652692359039E-2</v>
      </c>
      <c r="AD12" s="49" cm="1">
        <f t="array" ref="AD12">IF($M12&lt;clplus3,((gamma)^$M12)/(FACT($M12)),0)</f>
        <v>2.8458893973544605E-2</v>
      </c>
      <c r="AE12" s="49" cm="1">
        <f t="array" ref="AE12">IF($M12&lt;clplus3,(((clplus3-1)/clplus3)*AC12),0)</f>
        <v>9.1717221538872313E-3</v>
      </c>
      <c r="AG12" s="79">
        <f t="shared" si="10"/>
        <v>1.1465695948088571E-2</v>
      </c>
      <c r="AH12" s="49">
        <f t="shared" si="11"/>
        <v>2.8458893973544605E-2</v>
      </c>
      <c r="AI12" s="49">
        <f t="shared" si="12"/>
        <v>9.554746623407143E-3</v>
      </c>
      <c r="AK12" s="79">
        <f t="shared" si="13"/>
        <v>1.1465802124512429E-2</v>
      </c>
      <c r="AL12" s="49">
        <f t="shared" si="14"/>
        <v>2.8458893973544605E-2</v>
      </c>
      <c r="AM12" s="49">
        <f t="shared" si="15"/>
        <v>9.8278303924392244E-3</v>
      </c>
      <c r="AO12" s="79">
        <f t="shared" si="16"/>
        <v>1.1465812024512311E-2</v>
      </c>
      <c r="AP12" s="49">
        <f t="shared" si="17"/>
        <v>2.8458893973544605E-2</v>
      </c>
      <c r="AQ12" s="49">
        <f t="shared" si="18"/>
        <v>1.0032585521448272E-2</v>
      </c>
    </row>
    <row r="13" spans="1:43" s="49" customFormat="1" ht="10.5" customHeight="1" x14ac:dyDescent="0.2">
      <c r="A13" s="76" t="str">
        <f>"Costo de servidor ocupado por "&amp;E4</f>
        <v>Costo de servidor ocupado por hora</v>
      </c>
      <c r="B13" s="76"/>
      <c r="C13" s="76"/>
      <c r="D13" s="77" t="s">
        <v>101</v>
      </c>
      <c r="E13" s="162">
        <f>DATOS!E13</f>
        <v>0</v>
      </c>
      <c r="G13" s="367" t="s">
        <v>24</v>
      </c>
      <c r="H13" s="368"/>
      <c r="I13" s="369"/>
      <c r="J13" s="54" t="s">
        <v>25</v>
      </c>
      <c r="K13" s="189">
        <f>K14+(1/micro)</f>
        <v>1.9097222222222224E-2</v>
      </c>
      <c r="L13" s="55" t="str">
        <f>E4</f>
        <v>hora</v>
      </c>
      <c r="M13" s="75">
        <v>5</v>
      </c>
      <c r="N13" s="192">
        <f t="shared" si="0"/>
        <v>1.4552843509198943E-2</v>
      </c>
      <c r="O13" s="192">
        <f t="shared" si="19"/>
        <v>0.98787263040900075</v>
      </c>
      <c r="Q13" s="79">
        <f t="shared" si="1"/>
        <v>1.4552843509198943E-2</v>
      </c>
      <c r="R13" s="49">
        <f t="shared" si="2"/>
        <v>0</v>
      </c>
      <c r="S13" s="49">
        <f t="shared" si="20"/>
        <v>0</v>
      </c>
      <c r="U13" s="51">
        <f t="shared" si="3"/>
        <v>4.5957841768757305E-3</v>
      </c>
      <c r="V13" s="49">
        <f t="shared" si="4"/>
        <v>0</v>
      </c>
      <c r="W13" s="51">
        <f t="shared" si="5"/>
        <v>0</v>
      </c>
      <c r="Y13" s="79">
        <f t="shared" si="6"/>
        <v>2.6034569694016255E-3</v>
      </c>
      <c r="Z13" s="49">
        <f t="shared" si="7"/>
        <v>0</v>
      </c>
      <c r="AA13" s="49">
        <f t="shared" si="8"/>
        <v>0</v>
      </c>
      <c r="AC13" s="79">
        <f t="shared" si="9"/>
        <v>2.0844823077016436E-3</v>
      </c>
      <c r="AD13" s="49" cm="1">
        <f t="array" ref="AD13">IF($M13&lt;clplus3,((gamma)^$M13)/(FACT($M13)),0)</f>
        <v>0</v>
      </c>
      <c r="AE13" s="49" cm="1">
        <f t="array" ref="AE13">IF($M13&lt;clplus3,(((clplus3-1)/clplus3)*AC13),0)</f>
        <v>0</v>
      </c>
      <c r="AG13" s="79">
        <f t="shared" si="10"/>
        <v>2.0846719905615583E-3</v>
      </c>
      <c r="AH13" s="49">
        <f t="shared" si="11"/>
        <v>5.1743443588262916E-3</v>
      </c>
      <c r="AI13" s="49">
        <f t="shared" si="12"/>
        <v>1.7372266588012986E-3</v>
      </c>
      <c r="AK13" s="79">
        <f t="shared" si="13"/>
        <v>2.0846912953658963E-3</v>
      </c>
      <c r="AL13" s="49">
        <f t="shared" si="14"/>
        <v>5.1743443588262916E-3</v>
      </c>
      <c r="AM13" s="49">
        <f t="shared" si="15"/>
        <v>1.7868782531707682E-3</v>
      </c>
      <c r="AO13" s="79">
        <f t="shared" si="16"/>
        <v>2.0846930953658748E-3</v>
      </c>
      <c r="AP13" s="49">
        <f t="shared" si="17"/>
        <v>5.1743443588262916E-3</v>
      </c>
      <c r="AQ13" s="49">
        <f t="shared" si="18"/>
        <v>1.8241064584451404E-3</v>
      </c>
    </row>
    <row r="14" spans="1:43" s="49" customFormat="1" ht="10.5" customHeight="1" x14ac:dyDescent="0.2">
      <c r="A14" s="76" t="str">
        <f>"Costo de servidor libre por "&amp;E4</f>
        <v>Costo de servidor libre por hora</v>
      </c>
      <c r="B14" s="76"/>
      <c r="C14" s="76"/>
      <c r="D14" s="77" t="s">
        <v>102</v>
      </c>
      <c r="E14" s="162">
        <f>DATOS!E14</f>
        <v>0</v>
      </c>
      <c r="G14" s="56" t="s">
        <v>26</v>
      </c>
      <c r="J14" s="52" t="s">
        <v>27</v>
      </c>
      <c r="K14" s="190">
        <f>K12/lmbd</f>
        <v>3.9457070707070701E-3</v>
      </c>
      <c r="L14" s="53" t="str">
        <f>E4</f>
        <v>hora</v>
      </c>
      <c r="M14" s="75">
        <v>6</v>
      </c>
      <c r="N14" s="192">
        <f t="shared" si="0"/>
        <v>6.6149288678177013E-3</v>
      </c>
      <c r="O14" s="192">
        <f t="shared" si="19"/>
        <v>0.99448755927681842</v>
      </c>
      <c r="Q14" s="79">
        <f t="shared" si="1"/>
        <v>6.6149288678177013E-3</v>
      </c>
      <c r="R14" s="49">
        <f t="shared" si="2"/>
        <v>0</v>
      </c>
      <c r="S14" s="49">
        <f t="shared" si="20"/>
        <v>0</v>
      </c>
      <c r="U14" s="51">
        <f t="shared" si="3"/>
        <v>1.3926618717805244E-3</v>
      </c>
      <c r="V14" s="49">
        <f t="shared" si="4"/>
        <v>0</v>
      </c>
      <c r="W14" s="51">
        <f t="shared" si="5"/>
        <v>0</v>
      </c>
      <c r="Y14" s="79">
        <f t="shared" si="6"/>
        <v>5.9169476577309666E-4</v>
      </c>
      <c r="Z14" s="49">
        <f t="shared" si="7"/>
        <v>0</v>
      </c>
      <c r="AA14" s="49">
        <f t="shared" si="8"/>
        <v>0</v>
      </c>
      <c r="AC14" s="79">
        <f t="shared" si="9"/>
        <v>3.7899678321848067E-4</v>
      </c>
      <c r="AD14" s="49" cm="1">
        <f t="array" ref="AD14">IF($M14&lt;clplus3,((gamma)^$M14)/(FACT($M14)),0)</f>
        <v>0</v>
      </c>
      <c r="AE14" s="49" cm="1">
        <f t="array" ref="AE14">IF($M14&lt;clplus3,(((clplus3-1)/clplus3)*AC14),0)</f>
        <v>0</v>
      </c>
      <c r="AG14" s="79">
        <f t="shared" si="10"/>
        <v>3.15859392509327E-4</v>
      </c>
      <c r="AH14" s="49">
        <f t="shared" si="11"/>
        <v>0</v>
      </c>
      <c r="AI14" s="49">
        <f t="shared" si="12"/>
        <v>0</v>
      </c>
      <c r="AK14" s="79">
        <f t="shared" si="13"/>
        <v>3.1586231747968125E-4</v>
      </c>
      <c r="AL14" s="49">
        <f t="shared" si="14"/>
        <v>7.8399156951913503E-4</v>
      </c>
      <c r="AM14" s="49">
        <f t="shared" si="15"/>
        <v>2.707391292682982E-4</v>
      </c>
      <c r="AO14" s="79">
        <f t="shared" si="16"/>
        <v>3.1586259020695073E-4</v>
      </c>
      <c r="AP14" s="49">
        <f t="shared" si="17"/>
        <v>7.8399156951913503E-4</v>
      </c>
      <c r="AQ14" s="49">
        <f t="shared" si="18"/>
        <v>2.7637976643108189E-4</v>
      </c>
    </row>
    <row r="15" spans="1:43" s="49" customFormat="1" ht="10.5" customHeight="1" x14ac:dyDescent="0.2">
      <c r="A15" s="76" t="str">
        <f>"Costo de cliente en espera por "&amp;E4</f>
        <v>Costo de cliente en espera por hora</v>
      </c>
      <c r="B15" s="76"/>
      <c r="C15" s="76"/>
      <c r="D15" s="77" t="s">
        <v>48</v>
      </c>
      <c r="E15" s="162">
        <f>DATOS!E15</f>
        <v>0</v>
      </c>
      <c r="G15" s="367" t="s">
        <v>28</v>
      </c>
      <c r="H15" s="368"/>
      <c r="I15" s="369"/>
      <c r="J15" s="54" t="s">
        <v>29</v>
      </c>
      <c r="K15" s="189">
        <f>$N$8</f>
        <v>0.37499999999999994</v>
      </c>
      <c r="L15" s="148">
        <f>Pe0</f>
        <v>0.37499999999999994</v>
      </c>
      <c r="M15" s="75">
        <v>7</v>
      </c>
      <c r="N15" s="192">
        <f t="shared" si="0"/>
        <v>3.0067858490080458E-3</v>
      </c>
      <c r="O15" s="192">
        <f t="shared" si="19"/>
        <v>0.99749434512582646</v>
      </c>
      <c r="Q15" s="79">
        <f t="shared" si="1"/>
        <v>3.0067858490080458E-3</v>
      </c>
      <c r="R15" s="49">
        <f t="shared" si="2"/>
        <v>0</v>
      </c>
      <c r="S15" s="49">
        <f t="shared" si="20"/>
        <v>0</v>
      </c>
      <c r="U15" s="51">
        <f t="shared" si="3"/>
        <v>4.2201874902440134E-4</v>
      </c>
      <c r="V15" s="49">
        <f t="shared" si="4"/>
        <v>0</v>
      </c>
      <c r="W15" s="51">
        <f t="shared" si="5"/>
        <v>0</v>
      </c>
      <c r="Y15" s="79">
        <f t="shared" si="6"/>
        <v>1.3447608313024923E-4</v>
      </c>
      <c r="Z15" s="49">
        <f t="shared" si="7"/>
        <v>0</v>
      </c>
      <c r="AA15" s="49">
        <f t="shared" si="8"/>
        <v>0</v>
      </c>
      <c r="AC15" s="79">
        <f t="shared" si="9"/>
        <v>6.8908506039723767E-5</v>
      </c>
      <c r="AD15" s="49" cm="1">
        <f t="array" ref="AD15">IF($M15&lt;clplus3,((gamma)^$M15)/(FACT($M15)),0)</f>
        <v>0</v>
      </c>
      <c r="AE15" s="49" cm="1">
        <f t="array" ref="AE15">IF($M15&lt;clplus3,(((clplus3-1)/clplus3)*AC15),0)</f>
        <v>0</v>
      </c>
      <c r="AG15" s="79">
        <f t="shared" si="10"/>
        <v>4.7857483713534396E-5</v>
      </c>
      <c r="AH15" s="49">
        <f t="shared" si="11"/>
        <v>0</v>
      </c>
      <c r="AI15" s="49">
        <f t="shared" si="12"/>
        <v>0</v>
      </c>
      <c r="AK15" s="79">
        <f t="shared" si="13"/>
        <v>4.102108019216639E-5</v>
      </c>
      <c r="AL15" s="49">
        <f t="shared" si="14"/>
        <v>0</v>
      </c>
      <c r="AM15" s="49">
        <f t="shared" si="15"/>
        <v>0</v>
      </c>
      <c r="AO15" s="79">
        <f t="shared" si="16"/>
        <v>4.1021115611292301E-5</v>
      </c>
      <c r="AP15" s="49">
        <f t="shared" si="17"/>
        <v>1.0181708695053701E-4</v>
      </c>
      <c r="AQ15" s="49">
        <f t="shared" si="18"/>
        <v>3.5893476159880761E-5</v>
      </c>
    </row>
    <row r="16" spans="1:43" s="49" customFormat="1" ht="10.5" customHeight="1" x14ac:dyDescent="0.2">
      <c r="A16" s="76" t="str">
        <f>"Costo de cliente en atención por "&amp;E4</f>
        <v>Costo de cliente en atención por hora</v>
      </c>
      <c r="B16" s="76"/>
      <c r="C16" s="76"/>
      <c r="D16" s="77" t="s">
        <v>103</v>
      </c>
      <c r="E16" s="162">
        <f>DATOS!E16</f>
        <v>0</v>
      </c>
      <c r="G16" s="56" t="s">
        <v>30</v>
      </c>
      <c r="J16" s="52" t="s">
        <v>31</v>
      </c>
      <c r="K16" s="190">
        <f ca="1">1-SUM(OFFSET(N8:N108,0,0,cl,1))</f>
        <v>0.28409090909090917</v>
      </c>
      <c r="L16" s="148">
        <f ca="1">K16</f>
        <v>0.28409090909090917</v>
      </c>
      <c r="M16" s="75">
        <v>8</v>
      </c>
      <c r="N16" s="192">
        <f t="shared" si="0"/>
        <v>1.3667208404582027E-3</v>
      </c>
      <c r="O16" s="192">
        <f t="shared" si="19"/>
        <v>0.99886106596628466</v>
      </c>
      <c r="Q16" s="79">
        <f t="shared" si="1"/>
        <v>1.3667208404582027E-3</v>
      </c>
      <c r="R16" s="49">
        <f t="shared" si="2"/>
        <v>0</v>
      </c>
      <c r="S16" s="49">
        <f t="shared" si="20"/>
        <v>0</v>
      </c>
      <c r="U16" s="51">
        <f t="shared" si="3"/>
        <v>1.2788446940133373E-4</v>
      </c>
      <c r="V16" s="49">
        <f t="shared" si="4"/>
        <v>0</v>
      </c>
      <c r="W16" s="51">
        <f t="shared" si="5"/>
        <v>0</v>
      </c>
      <c r="Y16" s="79">
        <f t="shared" si="6"/>
        <v>3.0562746165965735E-5</v>
      </c>
      <c r="Z16" s="49">
        <f t="shared" si="7"/>
        <v>0</v>
      </c>
      <c r="AA16" s="49">
        <f t="shared" si="8"/>
        <v>0</v>
      </c>
      <c r="AC16" s="79">
        <f t="shared" si="9"/>
        <v>1.2528819279949776E-5</v>
      </c>
      <c r="AD16" s="49" cm="1">
        <f t="array" ref="AD16">IF($M16&lt;clplus3,((gamma)^$M16)/(FACT($M16)),0)</f>
        <v>0</v>
      </c>
      <c r="AE16" s="49" cm="1">
        <f t="array" ref="AE16">IF($M16&lt;clplus3,(((clplus3-1)/clplus3)*AC16),0)</f>
        <v>0</v>
      </c>
      <c r="AG16" s="79">
        <f t="shared" si="10"/>
        <v>7.2511338959900601E-6</v>
      </c>
      <c r="AH16" s="49">
        <f t="shared" si="11"/>
        <v>0</v>
      </c>
      <c r="AI16" s="49">
        <f t="shared" si="12"/>
        <v>0</v>
      </c>
      <c r="AK16" s="79">
        <f t="shared" si="13"/>
        <v>5.3274130119696603E-6</v>
      </c>
      <c r="AL16" s="49">
        <f t="shared" si="14"/>
        <v>0</v>
      </c>
      <c r="AM16" s="49">
        <f t="shared" si="15"/>
        <v>0</v>
      </c>
      <c r="AO16" s="79">
        <f t="shared" si="16"/>
        <v>4.661490410374125E-6</v>
      </c>
      <c r="AP16" s="49">
        <f t="shared" si="17"/>
        <v>0</v>
      </c>
      <c r="AQ16" s="49">
        <f t="shared" si="18"/>
        <v>0</v>
      </c>
    </row>
    <row r="17" spans="1:43" s="49" customFormat="1" ht="10.5" customHeight="1" x14ac:dyDescent="0.2">
      <c r="A17" s="76" t="s">
        <v>6</v>
      </c>
      <c r="B17" s="76"/>
      <c r="C17" s="76"/>
      <c r="D17" s="77" t="s">
        <v>50</v>
      </c>
      <c r="E17" s="162">
        <f>DATOS!E17</f>
        <v>0</v>
      </c>
      <c r="G17" s="370" t="str">
        <f>"Media de clientes rechazados por "&amp;E4</f>
        <v>Media de clientes rechazados por hora</v>
      </c>
      <c r="H17" s="371"/>
      <c r="I17" s="372"/>
      <c r="J17" s="58"/>
      <c r="K17" s="189"/>
      <c r="L17" s="55"/>
      <c r="M17" s="75">
        <v>9</v>
      </c>
      <c r="N17" s="192">
        <f t="shared" si="0"/>
        <v>6.2123674566281941E-4</v>
      </c>
      <c r="O17" s="192">
        <f t="shared" si="19"/>
        <v>0.99948230271194749</v>
      </c>
      <c r="Q17" s="79">
        <f t="shared" si="1"/>
        <v>6.2123674566281941E-4</v>
      </c>
      <c r="R17" s="49">
        <f t="shared" si="2"/>
        <v>0</v>
      </c>
      <c r="S17" s="49">
        <f t="shared" si="20"/>
        <v>0</v>
      </c>
      <c r="U17" s="51">
        <f t="shared" si="3"/>
        <v>3.8752869515555678E-5</v>
      </c>
      <c r="V17" s="49">
        <f t="shared" si="4"/>
        <v>0</v>
      </c>
      <c r="W17" s="51">
        <f t="shared" si="5"/>
        <v>0</v>
      </c>
      <c r="Y17" s="79">
        <f t="shared" si="6"/>
        <v>6.9460786740831217E-6</v>
      </c>
      <c r="Z17" s="49">
        <f t="shared" si="7"/>
        <v>0</v>
      </c>
      <c r="AA17" s="49">
        <f t="shared" si="8"/>
        <v>0</v>
      </c>
      <c r="AC17" s="79">
        <f t="shared" si="9"/>
        <v>2.27796714180905E-6</v>
      </c>
      <c r="AD17" s="49" cm="1">
        <f t="array" ref="AD17">IF($M17&lt;clplus3,((gamma)^$M17)/(FACT($M17)),0)</f>
        <v>0</v>
      </c>
      <c r="AE17" s="49" cm="1">
        <f t="array" ref="AE17">IF($M17&lt;clplus3,(((clplus3-1)/clplus3)*AC17),0)</f>
        <v>0</v>
      </c>
      <c r="AG17" s="79">
        <f t="shared" si="10"/>
        <v>1.0986566509075848E-6</v>
      </c>
      <c r="AH17" s="49">
        <f t="shared" si="11"/>
        <v>0</v>
      </c>
      <c r="AI17" s="49">
        <f t="shared" si="12"/>
        <v>0</v>
      </c>
      <c r="AK17" s="79">
        <f t="shared" si="13"/>
        <v>6.9187181973631944E-7</v>
      </c>
      <c r="AL17" s="49">
        <f t="shared" si="14"/>
        <v>0</v>
      </c>
      <c r="AM17" s="49">
        <f t="shared" si="15"/>
        <v>0</v>
      </c>
      <c r="AO17" s="79">
        <f t="shared" si="16"/>
        <v>5.2971481936069602E-7</v>
      </c>
      <c r="AP17" s="49">
        <f t="shared" si="17"/>
        <v>0</v>
      </c>
      <c r="AQ17" s="49">
        <f t="shared" si="18"/>
        <v>0</v>
      </c>
    </row>
    <row r="18" spans="1:43" s="49" customFormat="1" ht="10.5" customHeight="1" x14ac:dyDescent="0.2">
      <c r="A18" s="76" t="s">
        <v>7</v>
      </c>
      <c r="B18" s="76"/>
      <c r="C18" s="76"/>
      <c r="D18" s="77" t="s">
        <v>104</v>
      </c>
      <c r="E18" s="162">
        <f>DATOS!E18</f>
        <v>0</v>
      </c>
      <c r="G18" s="337" t="str">
        <f>IF($E$19&lt;&gt;"","Probabilidad de W&gt;t cuando t = "&amp;E19,"")</f>
        <v/>
      </c>
      <c r="H18" s="337"/>
      <c r="I18" s="337"/>
      <c r="J18" s="52"/>
      <c r="K18" s="190" t="str">
        <f>IF($E$19&lt;&gt;"",IF((cl-1-lmbd/micro)=0,EXP(-micro*$E$19)*(1+Pe0*((lmbd/micro)^cl)/(FACT(cl)*(1-$K$29))*micro*$E$19),EXP(-micro*$E$19)*(1+K15*((lmbd/micro)^cl)/(FACT(cl)*(1-$K$29))*(1-EXP(-micro*$E$19*(cl-1-lmbd/micro)))/(cl-1-lmbd/micro))),"")</f>
        <v/>
      </c>
      <c r="L18" s="53"/>
      <c r="M18" s="75">
        <v>10</v>
      </c>
      <c r="N18" s="192">
        <f t="shared" si="0"/>
        <v>2.8238033893764519E-4</v>
      </c>
      <c r="O18" s="192">
        <f t="shared" si="19"/>
        <v>0.99976468305088517</v>
      </c>
      <c r="Q18" s="79">
        <f t="shared" si="1"/>
        <v>2.8238033893764519E-4</v>
      </c>
      <c r="R18" s="49">
        <f t="shared" si="2"/>
        <v>0</v>
      </c>
      <c r="S18" s="49">
        <f t="shared" si="20"/>
        <v>0</v>
      </c>
      <c r="U18" s="51">
        <f t="shared" si="3"/>
        <v>1.1743293792592629E-5</v>
      </c>
      <c r="V18" s="49">
        <f t="shared" si="4"/>
        <v>0</v>
      </c>
      <c r="W18" s="51">
        <f t="shared" si="5"/>
        <v>0</v>
      </c>
      <c r="Y18" s="79">
        <f t="shared" si="6"/>
        <v>1.5786542441098003E-6</v>
      </c>
      <c r="Z18" s="49">
        <f t="shared" si="7"/>
        <v>0</v>
      </c>
      <c r="AA18" s="49">
        <f t="shared" si="8"/>
        <v>0</v>
      </c>
      <c r="AC18" s="79">
        <f t="shared" si="9"/>
        <v>4.1417584396528185E-7</v>
      </c>
      <c r="AD18" s="49" cm="1">
        <f t="array" ref="AD18">IF($M18&lt;clplus3,((gamma)^$M18)/(FACT($M18)),0)</f>
        <v>0</v>
      </c>
      <c r="AE18" s="49" cm="1">
        <f t="array" ref="AE18">IF($M18&lt;clplus3,(((clplus3-1)/clplus3)*AC18),0)</f>
        <v>0</v>
      </c>
      <c r="AG18" s="79">
        <f t="shared" si="10"/>
        <v>1.6646312892539164E-7</v>
      </c>
      <c r="AH18" s="49">
        <f t="shared" si="11"/>
        <v>0</v>
      </c>
      <c r="AI18" s="49">
        <f t="shared" si="12"/>
        <v>0</v>
      </c>
      <c r="AK18" s="79">
        <f t="shared" si="13"/>
        <v>8.9853483082638886E-8</v>
      </c>
      <c r="AL18" s="49">
        <f t="shared" si="14"/>
        <v>0</v>
      </c>
      <c r="AM18" s="49">
        <f t="shared" si="15"/>
        <v>0</v>
      </c>
      <c r="AO18" s="79">
        <f t="shared" si="16"/>
        <v>6.0194865836442723E-8</v>
      </c>
      <c r="AP18" s="49">
        <f t="shared" si="17"/>
        <v>0</v>
      </c>
      <c r="AQ18" s="49">
        <f t="shared" si="18"/>
        <v>0</v>
      </c>
    </row>
    <row r="19" spans="1:43" s="49" customFormat="1" ht="10.5" customHeight="1" x14ac:dyDescent="0.2">
      <c r="A19" s="76" t="str">
        <f>"Tiempo de referencia ("&amp;E4&amp;")"</f>
        <v>Tiempo de referencia (hora)</v>
      </c>
      <c r="B19" s="76"/>
      <c r="C19" s="76"/>
      <c r="D19" s="81" t="s">
        <v>18</v>
      </c>
      <c r="E19" s="162" t="str">
        <f>IF(DATOS!E19=0,"",DATOS!E19)</f>
        <v/>
      </c>
      <c r="G19" s="337" t="str">
        <f>IF($E$19&lt;&gt;"","Probabilidad de Wq&gt;t cuando t = "&amp;E19,"")</f>
        <v/>
      </c>
      <c r="H19" s="337"/>
      <c r="I19" s="337"/>
      <c r="J19" s="54"/>
      <c r="K19" s="189" t="str">
        <f ca="1">IF(E19&lt;&gt;"",(1-SUM(OFFSET(N8,0,0,cl,1)))*EXP(-cl*micro*(1-$K$29)*$E$19),"")</f>
        <v/>
      </c>
      <c r="L19" s="55"/>
      <c r="M19" s="75">
        <v>11</v>
      </c>
      <c r="N19" s="192">
        <f t="shared" si="0"/>
        <v>1.2835469951711146E-4</v>
      </c>
      <c r="O19" s="192">
        <f t="shared" si="19"/>
        <v>0.99989303775040228</v>
      </c>
      <c r="Q19" s="79">
        <f t="shared" si="1"/>
        <v>1.2835469951711146E-4</v>
      </c>
      <c r="R19" s="49">
        <f t="shared" si="2"/>
        <v>0</v>
      </c>
      <c r="S19" s="49">
        <f t="shared" si="20"/>
        <v>0</v>
      </c>
      <c r="U19" s="51">
        <f t="shared" si="3"/>
        <v>3.5585738765432211E-6</v>
      </c>
      <c r="V19" s="49">
        <f t="shared" si="4"/>
        <v>0</v>
      </c>
      <c r="W19" s="51">
        <f t="shared" si="5"/>
        <v>0</v>
      </c>
      <c r="Y19" s="79">
        <f t="shared" si="6"/>
        <v>3.5878505547950006E-7</v>
      </c>
      <c r="Z19" s="49">
        <f t="shared" si="7"/>
        <v>0</v>
      </c>
      <c r="AA19" s="49">
        <f t="shared" si="8"/>
        <v>0</v>
      </c>
      <c r="AC19" s="79">
        <f t="shared" si="9"/>
        <v>7.5304698902778516E-8</v>
      </c>
      <c r="AD19" s="49" cm="1">
        <f t="array" ref="AD19">IF($M19&lt;clplus3,((gamma)^$M19)/(FACT($M19)),0)</f>
        <v>0</v>
      </c>
      <c r="AE19" s="49" cm="1">
        <f t="array" ref="AE19">IF($M19&lt;clplus3,(((clplus3-1)/clplus3)*AC19),0)</f>
        <v>0</v>
      </c>
      <c r="AG19" s="79">
        <f t="shared" si="10"/>
        <v>2.5221686200816915E-8</v>
      </c>
      <c r="AH19" s="49">
        <f t="shared" si="11"/>
        <v>0</v>
      </c>
      <c r="AI19" s="49">
        <f t="shared" si="12"/>
        <v>0</v>
      </c>
      <c r="AK19" s="79">
        <f t="shared" si="13"/>
        <v>1.1669283517225829E-8</v>
      </c>
      <c r="AL19" s="49">
        <f t="shared" si="14"/>
        <v>0</v>
      </c>
      <c r="AM19" s="49">
        <f t="shared" si="15"/>
        <v>0</v>
      </c>
      <c r="AO19" s="79">
        <f t="shared" si="16"/>
        <v>6.8403256632321278E-9</v>
      </c>
      <c r="AP19" s="49">
        <f t="shared" si="17"/>
        <v>0</v>
      </c>
      <c r="AQ19" s="49">
        <f t="shared" si="18"/>
        <v>0</v>
      </c>
    </row>
    <row r="20" spans="1:43" s="49" customFormat="1" ht="10.5" customHeight="1" x14ac:dyDescent="0.2">
      <c r="A20" s="170"/>
      <c r="B20" s="170"/>
      <c r="C20" s="170"/>
      <c r="D20" s="171"/>
      <c r="E20" s="170"/>
      <c r="G20" s="59" t="s">
        <v>32</v>
      </c>
      <c r="H20" s="373"/>
      <c r="I20" s="374"/>
      <c r="J20" s="375"/>
      <c r="K20" s="191"/>
      <c r="L20" s="60"/>
      <c r="M20" s="75">
        <v>12</v>
      </c>
      <c r="N20" s="192">
        <f t="shared" si="0"/>
        <v>5.8343045235050657E-5</v>
      </c>
      <c r="O20" s="192">
        <f t="shared" si="19"/>
        <v>0.99995138079563728</v>
      </c>
      <c r="Q20" s="79">
        <f t="shared" si="1"/>
        <v>5.8343045235050657E-5</v>
      </c>
      <c r="R20" s="49">
        <f t="shared" si="2"/>
        <v>0</v>
      </c>
      <c r="S20" s="49">
        <f t="shared" si="20"/>
        <v>0</v>
      </c>
      <c r="U20" s="51">
        <f t="shared" si="3"/>
        <v>1.0783557201646124E-6</v>
      </c>
      <c r="V20" s="49">
        <f t="shared" si="4"/>
        <v>0</v>
      </c>
      <c r="W20" s="51">
        <f t="shared" si="5"/>
        <v>0</v>
      </c>
      <c r="Y20" s="79">
        <f t="shared" si="6"/>
        <v>8.1542058063522735E-8</v>
      </c>
      <c r="Z20" s="49">
        <f t="shared" si="7"/>
        <v>0</v>
      </c>
      <c r="AA20" s="49">
        <f t="shared" si="8"/>
        <v>0</v>
      </c>
      <c r="AC20" s="79">
        <f t="shared" si="9"/>
        <v>1.3691763436868821E-8</v>
      </c>
      <c r="AD20" s="49" cm="1">
        <f t="array" ref="AD20">IF($M20&lt;clplus3,((gamma)^$M20)/(FACT($M20)),0)</f>
        <v>0</v>
      </c>
      <c r="AE20" s="49" cm="1">
        <f t="array" ref="AE20">IF($M20&lt;clplus3,(((clplus3-1)/clplus3)*AC20),0)</f>
        <v>0</v>
      </c>
      <c r="AG20" s="79">
        <f t="shared" si="10"/>
        <v>3.8214676061843812E-9</v>
      </c>
      <c r="AH20" s="49">
        <f t="shared" si="11"/>
        <v>0</v>
      </c>
      <c r="AI20" s="49">
        <f t="shared" si="12"/>
        <v>0</v>
      </c>
      <c r="AK20" s="79">
        <f t="shared" si="13"/>
        <v>1.5154913658734842E-9</v>
      </c>
      <c r="AL20" s="49">
        <f t="shared" si="14"/>
        <v>0</v>
      </c>
      <c r="AM20" s="49">
        <f t="shared" si="15"/>
        <v>0</v>
      </c>
      <c r="AO20" s="79">
        <f t="shared" si="16"/>
        <v>7.7730973445819632E-10</v>
      </c>
      <c r="AP20" s="49">
        <f t="shared" si="17"/>
        <v>0</v>
      </c>
      <c r="AQ20" s="49">
        <f t="shared" si="18"/>
        <v>0</v>
      </c>
    </row>
    <row r="21" spans="1:43" s="49" customFormat="1" ht="10.5" customHeight="1" x14ac:dyDescent="0.2">
      <c r="A21" s="170"/>
      <c r="B21" s="170"/>
      <c r="C21" s="170"/>
      <c r="D21" s="171"/>
      <c r="E21" s="170"/>
      <c r="G21" s="56" t="str">
        <f>"Costo de servidor ocupado/"&amp;E4</f>
        <v>Costo de servidor ocupado/hora</v>
      </c>
      <c r="J21" s="52" t="s">
        <v>45</v>
      </c>
      <c r="K21" s="61">
        <f>csoc*cl*K10</f>
        <v>0</v>
      </c>
      <c r="L21" s="53" t="str">
        <f>"$/"&amp;$E$4</f>
        <v>$/hora</v>
      </c>
      <c r="M21" s="75">
        <v>13</v>
      </c>
      <c r="N21" s="192">
        <f t="shared" si="0"/>
        <v>2.6519566015932117E-5</v>
      </c>
      <c r="O21" s="192">
        <f t="shared" si="19"/>
        <v>0.99997790036165324</v>
      </c>
      <c r="Q21" s="79">
        <f t="shared" si="1"/>
        <v>2.6519566015932117E-5</v>
      </c>
      <c r="R21" s="49">
        <f t="shared" si="2"/>
        <v>0</v>
      </c>
      <c r="S21" s="49">
        <f t="shared" si="20"/>
        <v>0</v>
      </c>
      <c r="U21" s="51">
        <f t="shared" si="3"/>
        <v>3.2677446065594315E-7</v>
      </c>
      <c r="V21" s="49">
        <f t="shared" si="4"/>
        <v>0</v>
      </c>
      <c r="W21" s="51">
        <f t="shared" si="5"/>
        <v>0</v>
      </c>
      <c r="Y21" s="79">
        <f t="shared" si="6"/>
        <v>1.8532285923527892E-8</v>
      </c>
      <c r="Z21" s="49">
        <f t="shared" si="7"/>
        <v>0</v>
      </c>
      <c r="AA21" s="49">
        <f t="shared" si="8"/>
        <v>0</v>
      </c>
      <c r="AC21" s="79">
        <f t="shared" si="9"/>
        <v>2.4894115339761492E-9</v>
      </c>
      <c r="AD21" s="49" cm="1">
        <f t="array" ref="AD21">IF($M21&lt;clplus3,((gamma)^$M21)/(FACT($M21)),0)</f>
        <v>0</v>
      </c>
      <c r="AE21" s="49" cm="1">
        <f t="array" ref="AE21">IF($M21&lt;clplus3,(((clplus3-1)/clplus3)*AC21),0)</f>
        <v>0</v>
      </c>
      <c r="AG21" s="79">
        <f t="shared" si="10"/>
        <v>5.7901024336126991E-10</v>
      </c>
      <c r="AH21" s="49">
        <f t="shared" si="11"/>
        <v>0</v>
      </c>
      <c r="AI21" s="49">
        <f t="shared" si="12"/>
        <v>0</v>
      </c>
      <c r="AK21" s="79">
        <f t="shared" si="13"/>
        <v>1.9681706050304987E-10</v>
      </c>
      <c r="AL21" s="49">
        <f t="shared" si="14"/>
        <v>0</v>
      </c>
      <c r="AM21" s="49">
        <f t="shared" si="15"/>
        <v>0</v>
      </c>
      <c r="AO21" s="79">
        <f t="shared" si="16"/>
        <v>8.8330651642976849E-11</v>
      </c>
      <c r="AP21" s="49">
        <f t="shared" si="17"/>
        <v>0</v>
      </c>
      <c r="AQ21" s="49">
        <f t="shared" si="18"/>
        <v>0</v>
      </c>
    </row>
    <row r="22" spans="1:43" s="49" customFormat="1" ht="10.5" customHeight="1" x14ac:dyDescent="0.2">
      <c r="A22" s="170"/>
      <c r="B22" s="170"/>
      <c r="C22" s="170"/>
      <c r="D22" s="171"/>
      <c r="E22" s="170"/>
      <c r="G22" s="62" t="str">
        <f>"Costo de servidor libre/"&amp;E4</f>
        <v>Costo de servidor libre/hora</v>
      </c>
      <c r="H22" s="63"/>
      <c r="I22" s="64"/>
      <c r="J22" s="54" t="s">
        <v>46</v>
      </c>
      <c r="K22" s="65">
        <f>csli*cl*(1-K10)</f>
        <v>0</v>
      </c>
      <c r="L22" s="53" t="str">
        <f t="shared" ref="L22:L27" si="21">"$/"&amp;$E$4</f>
        <v>$/hora</v>
      </c>
      <c r="M22" s="75">
        <v>14</v>
      </c>
      <c r="N22" s="192">
        <f t="shared" si="0"/>
        <v>1.2054348189060053E-5</v>
      </c>
      <c r="O22" s="192">
        <f t="shared" si="19"/>
        <v>0.99998995470984231</v>
      </c>
      <c r="Q22" s="79">
        <f t="shared" si="1"/>
        <v>1.2054348189060053E-5</v>
      </c>
      <c r="R22" s="49">
        <f t="shared" si="2"/>
        <v>0</v>
      </c>
      <c r="S22" s="49">
        <f t="shared" si="20"/>
        <v>0</v>
      </c>
      <c r="U22" s="51">
        <f t="shared" si="3"/>
        <v>9.9022563835134294E-8</v>
      </c>
      <c r="V22" s="49">
        <f t="shared" si="4"/>
        <v>0</v>
      </c>
      <c r="W22" s="51">
        <f t="shared" si="5"/>
        <v>0</v>
      </c>
      <c r="Y22" s="79">
        <f t="shared" si="6"/>
        <v>4.2118831644381571E-9</v>
      </c>
      <c r="Z22" s="49">
        <f t="shared" si="7"/>
        <v>0</v>
      </c>
      <c r="AA22" s="49">
        <f t="shared" si="8"/>
        <v>0</v>
      </c>
      <c r="AC22" s="79">
        <f t="shared" si="9"/>
        <v>4.5262027890475444E-10</v>
      </c>
      <c r="AD22" s="49" cm="1">
        <f t="array" ref="AD22">IF($M22&lt;clplus3,((gamma)^$M22)/(FACT($M22)),0)</f>
        <v>0</v>
      </c>
      <c r="AE22" s="49" cm="1">
        <f t="array" ref="AE22">IF($M22&lt;clplus3,(((clplus3-1)/clplus3)*AC22),0)</f>
        <v>0</v>
      </c>
      <c r="AG22" s="79">
        <f t="shared" si="10"/>
        <v>8.7728824751707565E-11</v>
      </c>
      <c r="AH22" s="49">
        <f t="shared" si="11"/>
        <v>0</v>
      </c>
      <c r="AI22" s="49">
        <f t="shared" si="12"/>
        <v>0</v>
      </c>
      <c r="AK22" s="79">
        <f t="shared" si="13"/>
        <v>2.5560657208188291E-11</v>
      </c>
      <c r="AL22" s="49">
        <f t="shared" si="14"/>
        <v>0</v>
      </c>
      <c r="AM22" s="49">
        <f t="shared" si="15"/>
        <v>0</v>
      </c>
      <c r="AO22" s="79">
        <f t="shared" si="16"/>
        <v>1.0037574050338278E-11</v>
      </c>
      <c r="AP22" s="49">
        <f t="shared" si="17"/>
        <v>0</v>
      </c>
      <c r="AQ22" s="49">
        <f t="shared" si="18"/>
        <v>0</v>
      </c>
    </row>
    <row r="23" spans="1:43" s="49" customFormat="1" ht="10.5" customHeight="1" x14ac:dyDescent="0.2">
      <c r="A23" s="170"/>
      <c r="B23" s="170"/>
      <c r="C23" s="170"/>
      <c r="D23" s="171"/>
      <c r="E23" s="170"/>
      <c r="G23" s="56" t="str">
        <f>"Costo de cliente en servicio/"&amp;E4</f>
        <v>Costo de cliente en servicio/hora</v>
      </c>
      <c r="J23" s="52" t="s">
        <v>47</v>
      </c>
      <c r="K23" s="61">
        <f>cclate*(K11-K12)</f>
        <v>0</v>
      </c>
      <c r="L23" s="53" t="str">
        <f t="shared" si="21"/>
        <v>$/hora</v>
      </c>
      <c r="M23" s="75">
        <v>15</v>
      </c>
      <c r="N23" s="192">
        <f t="shared" si="0"/>
        <v>5.4792491768454783E-6</v>
      </c>
      <c r="O23" s="192">
        <f t="shared" si="19"/>
        <v>0.99999543395901913</v>
      </c>
      <c r="Q23" s="79">
        <f t="shared" si="1"/>
        <v>5.4792491768454783E-6</v>
      </c>
      <c r="R23" s="49">
        <f t="shared" si="2"/>
        <v>0</v>
      </c>
      <c r="S23" s="49">
        <f t="shared" si="20"/>
        <v>0</v>
      </c>
      <c r="U23" s="51">
        <f t="shared" si="3"/>
        <v>3.0006837525798273E-8</v>
      </c>
      <c r="V23" s="49">
        <f t="shared" si="4"/>
        <v>0</v>
      </c>
      <c r="W23" s="51">
        <f t="shared" si="5"/>
        <v>0</v>
      </c>
      <c r="Y23" s="79">
        <f t="shared" si="6"/>
        <v>9.5724617373594477E-10</v>
      </c>
      <c r="Z23" s="49">
        <f t="shared" si="7"/>
        <v>0</v>
      </c>
      <c r="AA23" s="49">
        <f t="shared" si="8"/>
        <v>0</v>
      </c>
      <c r="AC23" s="79">
        <f t="shared" si="9"/>
        <v>8.2294596164500812E-11</v>
      </c>
      <c r="AD23" s="49" cm="1">
        <f t="array" ref="AD23">IF($M23&lt;clplus3,((gamma)^$M23)/(FACT($M23)),0)</f>
        <v>0</v>
      </c>
      <c r="AE23" s="49" cm="1">
        <f t="array" ref="AE23">IF($M23&lt;clplus3,(((clplus3-1)/clplus3)*AC23),0)</f>
        <v>0</v>
      </c>
      <c r="AG23" s="79">
        <f t="shared" si="10"/>
        <v>1.3292246174501147E-11</v>
      </c>
      <c r="AH23" s="49">
        <f t="shared" si="11"/>
        <v>0</v>
      </c>
      <c r="AI23" s="49">
        <f t="shared" si="12"/>
        <v>0</v>
      </c>
      <c r="AK23" s="79">
        <f t="shared" si="13"/>
        <v>3.3195658711932843E-12</v>
      </c>
      <c r="AL23" s="49">
        <f t="shared" si="14"/>
        <v>0</v>
      </c>
      <c r="AM23" s="49">
        <f t="shared" si="15"/>
        <v>0</v>
      </c>
      <c r="AO23" s="79">
        <f t="shared" si="16"/>
        <v>1.140633414811168E-12</v>
      </c>
      <c r="AP23" s="49">
        <f t="shared" si="17"/>
        <v>0</v>
      </c>
      <c r="AQ23" s="49">
        <f t="shared" si="18"/>
        <v>0</v>
      </c>
    </row>
    <row r="24" spans="1:43" s="49" customFormat="1" ht="10.5" customHeight="1" x14ac:dyDescent="0.2">
      <c r="A24" s="170"/>
      <c r="B24" s="170"/>
      <c r="C24" s="170"/>
      <c r="D24" s="171"/>
      <c r="E24" s="170"/>
      <c r="G24" s="62" t="str">
        <f>"Costo de cliente en espera/"&amp;E4</f>
        <v>Costo de cliente en espera/hora</v>
      </c>
      <c r="H24" s="63"/>
      <c r="I24" s="64"/>
      <c r="J24" s="54" t="s">
        <v>48</v>
      </c>
      <c r="K24" s="65">
        <f>cclesp*K12</f>
        <v>0</v>
      </c>
      <c r="L24" s="53" t="str">
        <f t="shared" si="21"/>
        <v>$/hora</v>
      </c>
      <c r="M24" s="75">
        <v>16</v>
      </c>
      <c r="N24" s="192">
        <f t="shared" si="0"/>
        <v>2.4905678076570355E-6</v>
      </c>
      <c r="O24" s="192">
        <f t="shared" si="19"/>
        <v>0.99999792452682679</v>
      </c>
      <c r="Q24" s="79">
        <f t="shared" si="1"/>
        <v>2.4905678076570355E-6</v>
      </c>
      <c r="R24" s="49">
        <f t="shared" si="2"/>
        <v>0</v>
      </c>
      <c r="S24" s="49">
        <f t="shared" si="20"/>
        <v>0</v>
      </c>
      <c r="U24" s="51">
        <f t="shared" si="3"/>
        <v>9.0929810684237198E-9</v>
      </c>
      <c r="V24" s="49">
        <f t="shared" si="4"/>
        <v>0</v>
      </c>
      <c r="W24" s="51">
        <f t="shared" si="5"/>
        <v>0</v>
      </c>
      <c r="Y24" s="79">
        <f t="shared" si="6"/>
        <v>2.1755594857635108E-10</v>
      </c>
      <c r="Z24" s="49">
        <f t="shared" si="7"/>
        <v>0</v>
      </c>
      <c r="AA24" s="49">
        <f t="shared" si="8"/>
        <v>0</v>
      </c>
      <c r="AC24" s="79">
        <f t="shared" si="9"/>
        <v>1.4962653848091056E-11</v>
      </c>
      <c r="AD24" s="49" cm="1">
        <f t="array" ref="AD24">IF($M24&lt;clplus3,((gamma)^$M24)/(FACT($M24)),0)</f>
        <v>0</v>
      </c>
      <c r="AE24" s="49" cm="1">
        <f t="array" ref="AE24">IF($M24&lt;clplus3,(((clplus3-1)/clplus3)*AC24),0)</f>
        <v>0</v>
      </c>
      <c r="AG24" s="79">
        <f t="shared" si="10"/>
        <v>2.0139766931062343E-12</v>
      </c>
      <c r="AH24" s="49">
        <f t="shared" si="11"/>
        <v>0</v>
      </c>
      <c r="AI24" s="49">
        <f t="shared" si="12"/>
        <v>0</v>
      </c>
      <c r="AK24" s="79">
        <f t="shared" si="13"/>
        <v>4.311124508043226E-13</v>
      </c>
      <c r="AL24" s="49">
        <f t="shared" si="14"/>
        <v>0</v>
      </c>
      <c r="AM24" s="49">
        <f t="shared" si="15"/>
        <v>0</v>
      </c>
      <c r="AO24" s="79">
        <f t="shared" si="16"/>
        <v>1.2961743350126909E-13</v>
      </c>
      <c r="AP24" s="49">
        <f t="shared" si="17"/>
        <v>0</v>
      </c>
      <c r="AQ24" s="49">
        <f t="shared" si="18"/>
        <v>0</v>
      </c>
    </row>
    <row r="25" spans="1:43" s="49" customFormat="1" ht="10.5" customHeight="1" x14ac:dyDescent="0.2">
      <c r="A25" s="170"/>
      <c r="B25" s="170"/>
      <c r="C25" s="170"/>
      <c r="D25" s="171"/>
      <c r="E25" s="170"/>
      <c r="G25" s="66" t="str">
        <f>"Costo de cliente rechazado/"&amp;E4</f>
        <v>Costo de cliente rechazado/hora</v>
      </c>
      <c r="H25" s="67"/>
      <c r="I25" s="68"/>
      <c r="J25" s="52" t="s">
        <v>50</v>
      </c>
      <c r="K25" s="61"/>
      <c r="L25" s="53" t="str">
        <f t="shared" si="21"/>
        <v>$/hora</v>
      </c>
      <c r="M25" s="75">
        <v>17</v>
      </c>
      <c r="N25" s="192">
        <f t="shared" si="0"/>
        <v>1.1320762762077434E-6</v>
      </c>
      <c r="O25" s="192">
        <f t="shared" si="19"/>
        <v>0.99999905660310295</v>
      </c>
      <c r="Q25" s="79">
        <f t="shared" si="1"/>
        <v>1.1320762762077434E-6</v>
      </c>
      <c r="R25" s="49">
        <f t="shared" si="2"/>
        <v>0</v>
      </c>
      <c r="S25" s="49">
        <f t="shared" si="20"/>
        <v>0</v>
      </c>
      <c r="U25" s="51">
        <f t="shared" si="3"/>
        <v>2.7554488086132486E-9</v>
      </c>
      <c r="V25" s="49">
        <f t="shared" si="4"/>
        <v>0</v>
      </c>
      <c r="W25" s="51">
        <f t="shared" si="5"/>
        <v>0</v>
      </c>
      <c r="Y25" s="79">
        <f t="shared" si="6"/>
        <v>4.9444533767352518E-11</v>
      </c>
      <c r="Z25" s="49">
        <f t="shared" si="7"/>
        <v>0</v>
      </c>
      <c r="AA25" s="49">
        <f t="shared" si="8"/>
        <v>0</v>
      </c>
      <c r="AC25" s="79">
        <f t="shared" si="9"/>
        <v>2.7204825178347374E-12</v>
      </c>
      <c r="AD25" s="49" cm="1">
        <f t="array" ref="AD25">IF($M25&lt;clplus3,((gamma)^$M25)/(FACT($M25)),0)</f>
        <v>0</v>
      </c>
      <c r="AE25" s="49" cm="1">
        <f t="array" ref="AE25">IF($M25&lt;clplus3,(((clplus3-1)/clplus3)*AC25),0)</f>
        <v>0</v>
      </c>
      <c r="AG25" s="79">
        <f t="shared" si="10"/>
        <v>3.0514798380397493E-13</v>
      </c>
      <c r="AH25" s="49">
        <f t="shared" si="11"/>
        <v>0</v>
      </c>
      <c r="AI25" s="49">
        <f t="shared" si="12"/>
        <v>0</v>
      </c>
      <c r="AK25" s="79">
        <f t="shared" si="13"/>
        <v>5.5988629974587348E-14</v>
      </c>
      <c r="AL25" s="49">
        <f t="shared" si="14"/>
        <v>0</v>
      </c>
      <c r="AM25" s="49">
        <f t="shared" si="15"/>
        <v>0</v>
      </c>
      <c r="AO25" s="79">
        <f t="shared" si="16"/>
        <v>1.4729253806962394E-14</v>
      </c>
      <c r="AP25" s="49">
        <f t="shared" si="17"/>
        <v>0</v>
      </c>
      <c r="AQ25" s="49">
        <f t="shared" si="18"/>
        <v>0</v>
      </c>
    </row>
    <row r="26" spans="1:43" s="49" customFormat="1" ht="10.5" customHeight="1" x14ac:dyDescent="0.2">
      <c r="A26" s="170"/>
      <c r="B26" s="170"/>
      <c r="C26" s="170"/>
      <c r="D26" s="171"/>
      <c r="E26" s="170"/>
      <c r="G26" s="62" t="str">
        <f>"Costo de espacio de cola/"&amp;E4</f>
        <v>Costo de espacio de cola/hora</v>
      </c>
      <c r="H26" s="63"/>
      <c r="I26" s="64"/>
      <c r="J26" s="54" t="s">
        <v>51</v>
      </c>
      <c r="K26" s="65"/>
      <c r="L26" s="53" t="str">
        <f t="shared" si="21"/>
        <v>$/hora</v>
      </c>
      <c r="M26" s="75">
        <v>18</v>
      </c>
      <c r="N26" s="192">
        <f t="shared" si="0"/>
        <v>5.1458012554897425E-7</v>
      </c>
      <c r="O26" s="192">
        <f t="shared" si="19"/>
        <v>0.99999957118322846</v>
      </c>
      <c r="Q26" s="79">
        <f t="shared" si="1"/>
        <v>5.1458012554897425E-7</v>
      </c>
      <c r="R26" s="49">
        <f t="shared" si="2"/>
        <v>0</v>
      </c>
      <c r="S26" s="49">
        <f t="shared" si="20"/>
        <v>0</v>
      </c>
      <c r="U26" s="51">
        <f t="shared" si="3"/>
        <v>8.3498448745856014E-10</v>
      </c>
      <c r="V26" s="49">
        <f t="shared" si="4"/>
        <v>0</v>
      </c>
      <c r="W26" s="51">
        <f t="shared" si="5"/>
        <v>0</v>
      </c>
      <c r="Y26" s="79">
        <f t="shared" si="6"/>
        <v>1.1237394038034662E-11</v>
      </c>
      <c r="Z26" s="49">
        <f t="shared" si="7"/>
        <v>0</v>
      </c>
      <c r="AA26" s="49">
        <f t="shared" si="8"/>
        <v>0</v>
      </c>
      <c r="AC26" s="79">
        <f t="shared" si="9"/>
        <v>4.9463318506086137E-13</v>
      </c>
      <c r="AD26" s="49" cm="1">
        <f t="array" ref="AD26">IF($M26&lt;clplus3,((gamma)^$M26)/(FACT($M26)),0)</f>
        <v>0</v>
      </c>
      <c r="AE26" s="49" cm="1">
        <f t="array" ref="AE26">IF($M26&lt;clplus3,(((clplus3-1)/clplus3)*AC26),0)</f>
        <v>0</v>
      </c>
      <c r="AG26" s="79">
        <f t="shared" si="10"/>
        <v>4.6234543000602265E-14</v>
      </c>
      <c r="AH26" s="49">
        <f t="shared" si="11"/>
        <v>0</v>
      </c>
      <c r="AI26" s="49">
        <f t="shared" si="12"/>
        <v>0</v>
      </c>
      <c r="AK26" s="79">
        <f t="shared" si="13"/>
        <v>7.2712506460503035E-15</v>
      </c>
      <c r="AL26" s="49">
        <f t="shared" si="14"/>
        <v>0</v>
      </c>
      <c r="AM26" s="49">
        <f t="shared" si="15"/>
        <v>0</v>
      </c>
      <c r="AO26" s="79">
        <f t="shared" si="16"/>
        <v>1.6737788417002721E-15</v>
      </c>
      <c r="AP26" s="49">
        <f t="shared" si="17"/>
        <v>0</v>
      </c>
      <c r="AQ26" s="49">
        <f t="shared" si="18"/>
        <v>0</v>
      </c>
    </row>
    <row r="27" spans="1:43" s="49" customFormat="1" ht="10.5" customHeight="1" x14ac:dyDescent="0.2">
      <c r="A27" s="170"/>
      <c r="B27" s="170"/>
      <c r="C27" s="170"/>
      <c r="D27" s="171"/>
      <c r="E27" s="170"/>
      <c r="G27" s="69" t="str">
        <f>"Costo total del sistema/"&amp;E4</f>
        <v>Costo total del sistema/hora</v>
      </c>
      <c r="H27" s="70"/>
      <c r="I27" s="70"/>
      <c r="J27" s="52" t="s">
        <v>52</v>
      </c>
      <c r="K27" s="71">
        <f>SUM(K21:K26)</f>
        <v>0</v>
      </c>
      <c r="L27" s="53" t="str">
        <f t="shared" si="21"/>
        <v>$/hora</v>
      </c>
      <c r="M27" s="75">
        <v>19</v>
      </c>
      <c r="N27" s="192">
        <f t="shared" si="0"/>
        <v>2.3390005706771556E-7</v>
      </c>
      <c r="O27" s="192">
        <f t="shared" si="19"/>
        <v>0.99999980508328556</v>
      </c>
      <c r="Q27" s="79">
        <f t="shared" si="1"/>
        <v>2.3390005706771556E-7</v>
      </c>
      <c r="R27" s="49">
        <f t="shared" si="2"/>
        <v>0</v>
      </c>
      <c r="S27" s="49">
        <f t="shared" si="20"/>
        <v>0</v>
      </c>
      <c r="U27" s="51">
        <f t="shared" si="3"/>
        <v>2.5302560226016974E-10</v>
      </c>
      <c r="V27" s="49">
        <f t="shared" si="4"/>
        <v>0</v>
      </c>
      <c r="W27" s="51">
        <f t="shared" si="5"/>
        <v>0</v>
      </c>
      <c r="Y27" s="79">
        <f t="shared" si="6"/>
        <v>2.5539531904624232E-12</v>
      </c>
      <c r="Z27" s="49">
        <f t="shared" si="7"/>
        <v>0</v>
      </c>
      <c r="AA27" s="49">
        <f t="shared" si="8"/>
        <v>0</v>
      </c>
      <c r="AC27" s="79">
        <f t="shared" si="9"/>
        <v>8.9933306374702076E-14</v>
      </c>
      <c r="AD27" s="49" cm="1">
        <f t="array" ref="AD27">IF($M27&lt;clplus3,((gamma)^$M27)/(FACT($M27)),0)</f>
        <v>0</v>
      </c>
      <c r="AE27" s="49" cm="1">
        <f t="array" ref="AE27">IF($M27&lt;clplus3,(((clplus3-1)/clplus3)*AC27),0)</f>
        <v>0</v>
      </c>
      <c r="AG27" s="79">
        <f t="shared" si="10"/>
        <v>7.0052337879700405E-15</v>
      </c>
      <c r="AH27" s="49">
        <f t="shared" si="11"/>
        <v>0</v>
      </c>
      <c r="AI27" s="49">
        <f t="shared" si="12"/>
        <v>0</v>
      </c>
      <c r="AK27" s="79">
        <f t="shared" si="13"/>
        <v>9.4431826572081854E-16</v>
      </c>
      <c r="AL27" s="49">
        <f t="shared" si="14"/>
        <v>0</v>
      </c>
      <c r="AM27" s="49">
        <f t="shared" si="15"/>
        <v>0</v>
      </c>
      <c r="AO27" s="79">
        <f t="shared" si="16"/>
        <v>1.9020214110230364E-16</v>
      </c>
      <c r="AP27" s="49">
        <f t="shared" si="17"/>
        <v>0</v>
      </c>
      <c r="AQ27" s="49">
        <f t="shared" si="18"/>
        <v>0</v>
      </c>
    </row>
    <row r="28" spans="1:43" s="49" customFormat="1" ht="10.5" customHeight="1" x14ac:dyDescent="0.2">
      <c r="A28" s="170"/>
      <c r="B28" s="170"/>
      <c r="C28" s="170"/>
      <c r="D28" s="171"/>
      <c r="E28" s="170"/>
      <c r="G28" s="66" t="s">
        <v>38</v>
      </c>
      <c r="H28" s="67"/>
      <c r="I28" s="68"/>
      <c r="J28" s="72" t="s">
        <v>41</v>
      </c>
      <c r="K28" s="85">
        <f>+K8/(K9)</f>
        <v>0.90909090909090906</v>
      </c>
      <c r="M28" s="75">
        <v>20</v>
      </c>
      <c r="N28" s="192">
        <f t="shared" si="0"/>
        <v>1.0631820775805253E-7</v>
      </c>
      <c r="O28" s="192">
        <f t="shared" si="19"/>
        <v>0.99999991140149336</v>
      </c>
      <c r="Q28" s="79">
        <f t="shared" si="1"/>
        <v>1.0631820775805253E-7</v>
      </c>
      <c r="R28" s="49">
        <f t="shared" si="2"/>
        <v>0</v>
      </c>
      <c r="S28" s="49">
        <f t="shared" si="20"/>
        <v>0</v>
      </c>
      <c r="U28" s="51">
        <f t="shared" si="3"/>
        <v>7.6674424927324164E-11</v>
      </c>
      <c r="V28" s="49">
        <f t="shared" si="4"/>
        <v>0</v>
      </c>
      <c r="W28" s="51">
        <f t="shared" si="5"/>
        <v>0</v>
      </c>
      <c r="Y28" s="79">
        <f t="shared" si="6"/>
        <v>5.80443906923278E-13</v>
      </c>
      <c r="Z28" s="49">
        <f t="shared" si="7"/>
        <v>0</v>
      </c>
      <c r="AA28" s="49">
        <f t="shared" si="8"/>
        <v>0</v>
      </c>
      <c r="AC28" s="79">
        <f t="shared" si="9"/>
        <v>1.6351510249945833E-14</v>
      </c>
      <c r="AD28" s="49" cm="1">
        <f t="array" ref="AD28">IF($M28&lt;clplus3,((gamma)^$M28)/(FACT($M28)),0)</f>
        <v>0</v>
      </c>
      <c r="AE28" s="49" cm="1">
        <f t="array" ref="AE28">IF($M28&lt;clplus3,(((clplus3-1)/clplus3)*AC28),0)</f>
        <v>0</v>
      </c>
      <c r="AG28" s="79">
        <f t="shared" si="10"/>
        <v>1.0613990587833395E-15</v>
      </c>
      <c r="AH28" s="49">
        <f t="shared" si="11"/>
        <v>0</v>
      </c>
      <c r="AI28" s="49">
        <f t="shared" si="12"/>
        <v>0</v>
      </c>
      <c r="AK28" s="79">
        <f t="shared" si="13"/>
        <v>1.226387358078985E-16</v>
      </c>
      <c r="AL28" s="49">
        <f t="shared" si="14"/>
        <v>0</v>
      </c>
      <c r="AM28" s="49">
        <f t="shared" si="15"/>
        <v>0</v>
      </c>
      <c r="AO28" s="79">
        <f t="shared" si="16"/>
        <v>2.1613879670716321E-17</v>
      </c>
      <c r="AP28" s="49">
        <f t="shared" si="17"/>
        <v>0</v>
      </c>
      <c r="AQ28" s="49">
        <f t="shared" si="18"/>
        <v>0</v>
      </c>
    </row>
    <row r="29" spans="1:43" s="49" customFormat="1" ht="10.5" customHeight="1" x14ac:dyDescent="0.2">
      <c r="A29" s="170"/>
      <c r="B29" s="170">
        <f>(Pe0*tau*(gamma^cl))/(FACT(cl)*(1-tau)^2)</f>
        <v>0.2367424242424242</v>
      </c>
      <c r="C29" s="170"/>
      <c r="D29" s="171"/>
      <c r="E29" s="170"/>
      <c r="G29" s="337" t="s">
        <v>39</v>
      </c>
      <c r="H29" s="337"/>
      <c r="I29" s="337"/>
      <c r="J29" s="74" t="s">
        <v>40</v>
      </c>
      <c r="K29" s="85">
        <f>+K8/(cl*K9)</f>
        <v>0.45454545454545453</v>
      </c>
      <c r="M29" s="75">
        <v>21</v>
      </c>
      <c r="N29" s="192">
        <f t="shared" si="0"/>
        <v>4.8326458071842058E-8</v>
      </c>
      <c r="O29" s="192">
        <f t="shared" si="19"/>
        <v>0.99999995972795142</v>
      </c>
      <c r="Q29" s="79">
        <f t="shared" si="1"/>
        <v>4.8326458071842058E-8</v>
      </c>
      <c r="R29" s="49">
        <f t="shared" si="2"/>
        <v>0</v>
      </c>
      <c r="S29" s="49">
        <f t="shared" si="20"/>
        <v>0</v>
      </c>
      <c r="U29" s="51">
        <f t="shared" si="3"/>
        <v>2.3234674220401263E-11</v>
      </c>
      <c r="V29" s="49">
        <f t="shared" si="4"/>
        <v>0</v>
      </c>
      <c r="W29" s="51">
        <f t="shared" si="5"/>
        <v>0</v>
      </c>
      <c r="Y29" s="79">
        <f t="shared" si="6"/>
        <v>1.3191906975529046E-13</v>
      </c>
      <c r="Z29" s="49">
        <f t="shared" si="7"/>
        <v>0</v>
      </c>
      <c r="AA29" s="49">
        <f t="shared" si="8"/>
        <v>0</v>
      </c>
      <c r="AC29" s="79">
        <f t="shared" si="9"/>
        <v>2.9730018636265151E-15</v>
      </c>
      <c r="AD29" s="49" cm="1">
        <f t="array" ref="AD29">IF($M29&lt;clplus3,((gamma)^$M29)/(FACT($M29)),0)</f>
        <v>0</v>
      </c>
      <c r="AE29" s="49" cm="1">
        <f t="array" ref="AE29">IF($M29&lt;clplus3,(((clplus3-1)/clplus3)*AC29),0)</f>
        <v>0</v>
      </c>
      <c r="AG29" s="79">
        <f t="shared" si="10"/>
        <v>1.608180392095969E-16</v>
      </c>
      <c r="AH29" s="49">
        <f t="shared" si="11"/>
        <v>0</v>
      </c>
      <c r="AI29" s="49">
        <f t="shared" si="12"/>
        <v>0</v>
      </c>
      <c r="AK29" s="79">
        <f t="shared" si="13"/>
        <v>1.5927108546480324E-17</v>
      </c>
      <c r="AL29" s="49">
        <f t="shared" si="14"/>
        <v>0</v>
      </c>
      <c r="AM29" s="49">
        <f t="shared" si="15"/>
        <v>0</v>
      </c>
      <c r="AO29" s="79">
        <f t="shared" si="16"/>
        <v>2.4561226898541273E-18</v>
      </c>
      <c r="AP29" s="49">
        <f t="shared" si="17"/>
        <v>0</v>
      </c>
      <c r="AQ29" s="49">
        <f t="shared" si="18"/>
        <v>0</v>
      </c>
    </row>
    <row r="30" spans="1:43" s="49" customFormat="1" ht="10.5" customHeight="1" x14ac:dyDescent="0.2">
      <c r="D30" s="82"/>
      <c r="J30" s="50"/>
      <c r="K30" s="51"/>
      <c r="M30" s="75">
        <v>22</v>
      </c>
      <c r="N30" s="192">
        <f t="shared" si="0"/>
        <v>2.1966571850837299E-8</v>
      </c>
      <c r="O30" s="192">
        <f t="shared" si="19"/>
        <v>0.99999998169452331</v>
      </c>
      <c r="Q30" s="79">
        <f t="shared" si="1"/>
        <v>2.1966571850837299E-8</v>
      </c>
      <c r="R30" s="49">
        <f t="shared" si="2"/>
        <v>0</v>
      </c>
      <c r="S30" s="49">
        <f t="shared" si="20"/>
        <v>0</v>
      </c>
      <c r="U30" s="51">
        <f t="shared" si="3"/>
        <v>7.0408103698185649E-12</v>
      </c>
      <c r="V30" s="49">
        <f t="shared" si="4"/>
        <v>0</v>
      </c>
      <c r="W30" s="51">
        <f t="shared" si="5"/>
        <v>0</v>
      </c>
      <c r="Y30" s="79">
        <f t="shared" si="6"/>
        <v>2.998160676256601E-14</v>
      </c>
      <c r="Z30" s="49">
        <f t="shared" si="7"/>
        <v>0</v>
      </c>
      <c r="AA30" s="49">
        <f t="shared" si="8"/>
        <v>0</v>
      </c>
      <c r="AC30" s="79">
        <f t="shared" si="9"/>
        <v>5.4054579338663917E-16</v>
      </c>
      <c r="AD30" s="49" cm="1">
        <f t="array" ref="AD30">IF($M30&lt;clplus3,((gamma)^$M30)/(FACT($M30)),0)</f>
        <v>0</v>
      </c>
      <c r="AE30" s="49" cm="1">
        <f t="array" ref="AE30">IF($M30&lt;clplus3,(((clplus3-1)/clplus3)*AC30),0)</f>
        <v>0</v>
      </c>
      <c r="AG30" s="79">
        <f t="shared" si="10"/>
        <v>2.4366369577211652E-17</v>
      </c>
      <c r="AH30" s="49">
        <f t="shared" si="11"/>
        <v>0</v>
      </c>
      <c r="AI30" s="49">
        <f t="shared" si="12"/>
        <v>0</v>
      </c>
      <c r="AK30" s="79">
        <f t="shared" si="13"/>
        <v>2.0684556553870551E-18</v>
      </c>
      <c r="AL30" s="49">
        <f t="shared" si="14"/>
        <v>0</v>
      </c>
      <c r="AM30" s="49">
        <f t="shared" si="15"/>
        <v>0</v>
      </c>
      <c r="AO30" s="79">
        <f t="shared" si="16"/>
        <v>2.7910485111978718E-19</v>
      </c>
      <c r="AP30" s="49">
        <f t="shared" si="17"/>
        <v>0</v>
      </c>
      <c r="AQ30" s="49">
        <f t="shared" si="18"/>
        <v>0</v>
      </c>
    </row>
    <row r="31" spans="1:43" s="49" customFormat="1" ht="10.5" customHeight="1" x14ac:dyDescent="0.2">
      <c r="D31" s="82"/>
      <c r="J31" s="50"/>
      <c r="K31" s="51"/>
      <c r="M31" s="75">
        <v>23</v>
      </c>
      <c r="N31" s="192">
        <f t="shared" si="0"/>
        <v>9.9848053867442261E-9</v>
      </c>
      <c r="O31" s="192">
        <f t="shared" si="19"/>
        <v>0.99999999167932874</v>
      </c>
      <c r="Q31" s="79">
        <f t="shared" si="1"/>
        <v>9.9848053867442261E-9</v>
      </c>
      <c r="R31" s="49">
        <f t="shared" si="2"/>
        <v>0</v>
      </c>
      <c r="S31" s="49">
        <f t="shared" si="20"/>
        <v>0</v>
      </c>
      <c r="U31" s="51">
        <f t="shared" si="3"/>
        <v>2.1335788999450196E-12</v>
      </c>
      <c r="V31" s="49">
        <f t="shared" si="4"/>
        <v>0</v>
      </c>
      <c r="W31" s="51">
        <f t="shared" si="5"/>
        <v>0</v>
      </c>
      <c r="Y31" s="79">
        <f t="shared" si="6"/>
        <v>6.81400153694682E-15</v>
      </c>
      <c r="Z31" s="49">
        <f t="shared" si="7"/>
        <v>0</v>
      </c>
      <c r="AA31" s="49">
        <f t="shared" si="8"/>
        <v>0</v>
      </c>
      <c r="AC31" s="79">
        <f t="shared" si="9"/>
        <v>9.8281053343025302E-17</v>
      </c>
      <c r="AD31" s="49" cm="1">
        <f t="array" ref="AD31">IF($M31&lt;clplus3,((gamma)^$M31)/(FACT($M31)),0)</f>
        <v>0</v>
      </c>
      <c r="AE31" s="49" cm="1">
        <f t="array" ref="AE31">IF($M31&lt;clplus3,(((clplus3-1)/clplus3)*AC31),0)</f>
        <v>0</v>
      </c>
      <c r="AG31" s="79">
        <f t="shared" si="10"/>
        <v>3.6918741783654019E-18</v>
      </c>
      <c r="AH31" s="49">
        <f t="shared" si="11"/>
        <v>0</v>
      </c>
      <c r="AI31" s="49">
        <f t="shared" si="12"/>
        <v>0</v>
      </c>
      <c r="AK31" s="79">
        <f t="shared" si="13"/>
        <v>2.6863060459572142E-19</v>
      </c>
      <c r="AL31" s="49">
        <f t="shared" si="14"/>
        <v>0</v>
      </c>
      <c r="AM31" s="49">
        <f t="shared" si="15"/>
        <v>0</v>
      </c>
      <c r="AO31" s="79">
        <f t="shared" si="16"/>
        <v>3.1716460354521268E-20</v>
      </c>
      <c r="AP31" s="49">
        <f t="shared" si="17"/>
        <v>0</v>
      </c>
      <c r="AQ31" s="49">
        <f t="shared" si="18"/>
        <v>0</v>
      </c>
    </row>
    <row r="32" spans="1:43" s="49" customFormat="1" ht="10.5" customHeight="1" x14ac:dyDescent="0.2">
      <c r="D32" s="82"/>
      <c r="J32" s="50"/>
      <c r="K32" s="51"/>
      <c r="M32" s="75">
        <v>24</v>
      </c>
      <c r="N32" s="192">
        <f t="shared" si="0"/>
        <v>4.538547903065557E-9</v>
      </c>
      <c r="O32" s="192">
        <f t="shared" si="19"/>
        <v>0.99999999621787661</v>
      </c>
      <c r="Q32" s="79">
        <f t="shared" si="1"/>
        <v>4.538547903065557E-9</v>
      </c>
      <c r="R32" s="49">
        <f t="shared" si="2"/>
        <v>0</v>
      </c>
      <c r="S32" s="49">
        <f t="shared" si="20"/>
        <v>0</v>
      </c>
      <c r="U32" s="51">
        <f t="shared" si="3"/>
        <v>6.4653906058939994E-13</v>
      </c>
      <c r="V32" s="49">
        <f t="shared" si="4"/>
        <v>0</v>
      </c>
      <c r="W32" s="51">
        <f t="shared" si="5"/>
        <v>0</v>
      </c>
      <c r="Y32" s="79">
        <f t="shared" si="6"/>
        <v>1.5486367129424591E-15</v>
      </c>
      <c r="Z32" s="49">
        <f t="shared" si="7"/>
        <v>0</v>
      </c>
      <c r="AA32" s="49">
        <f t="shared" si="8"/>
        <v>0</v>
      </c>
      <c r="AC32" s="79">
        <f t="shared" si="9"/>
        <v>1.7869282426004602E-17</v>
      </c>
      <c r="AD32" s="49" cm="1">
        <f t="array" ref="AD32">IF($M32&lt;clplus3,((gamma)^$M32)/(FACT($M32)),0)</f>
        <v>0</v>
      </c>
      <c r="AE32" s="49" cm="1">
        <f t="array" ref="AE32">IF($M32&lt;clplus3,(((clplus3-1)/clplus3)*AC32),0)</f>
        <v>0</v>
      </c>
      <c r="AG32" s="79">
        <f t="shared" si="10"/>
        <v>5.5937487550990943E-19</v>
      </c>
      <c r="AH32" s="49">
        <f t="shared" si="11"/>
        <v>0</v>
      </c>
      <c r="AI32" s="49">
        <f t="shared" si="12"/>
        <v>0</v>
      </c>
      <c r="AK32" s="79">
        <f t="shared" si="13"/>
        <v>3.4887091505937842E-20</v>
      </c>
      <c r="AL32" s="49">
        <f t="shared" si="14"/>
        <v>0</v>
      </c>
      <c r="AM32" s="49">
        <f t="shared" si="15"/>
        <v>0</v>
      </c>
      <c r="AO32" s="79">
        <f t="shared" si="16"/>
        <v>3.6041432221046893E-21</v>
      </c>
      <c r="AP32" s="49">
        <f t="shared" si="17"/>
        <v>0</v>
      </c>
      <c r="AQ32" s="49">
        <f t="shared" si="18"/>
        <v>0</v>
      </c>
    </row>
    <row r="33" spans="1:43" s="49" customFormat="1" ht="10.5" customHeight="1" x14ac:dyDescent="0.2">
      <c r="A33" s="356" t="s">
        <v>128</v>
      </c>
      <c r="B33" s="356"/>
      <c r="C33" s="356"/>
      <c r="D33" s="356"/>
      <c r="E33" s="356"/>
      <c r="F33" s="357"/>
      <c r="G33" s="356"/>
      <c r="H33" s="356"/>
      <c r="I33" s="356"/>
      <c r="J33" s="356"/>
      <c r="K33" s="356"/>
      <c r="M33" s="75">
        <v>25</v>
      </c>
      <c r="N33" s="192">
        <f t="shared" si="0"/>
        <v>2.0629763195752531E-9</v>
      </c>
      <c r="O33" s="192">
        <f t="shared" si="19"/>
        <v>0.99999999828085295</v>
      </c>
      <c r="Q33" s="79">
        <f t="shared" si="1"/>
        <v>2.0629763195752531E-9</v>
      </c>
      <c r="R33" s="49">
        <f t="shared" si="2"/>
        <v>0</v>
      </c>
      <c r="S33" s="49">
        <f t="shared" si="20"/>
        <v>0</v>
      </c>
      <c r="U33" s="51">
        <f t="shared" si="3"/>
        <v>1.9592092745133333E-13</v>
      </c>
      <c r="V33" s="49">
        <f t="shared" si="4"/>
        <v>0</v>
      </c>
      <c r="W33" s="51">
        <f t="shared" si="5"/>
        <v>0</v>
      </c>
      <c r="Y33" s="79">
        <f t="shared" si="6"/>
        <v>3.5196288930510434E-16</v>
      </c>
      <c r="Z33" s="49">
        <f t="shared" si="7"/>
        <v>0</v>
      </c>
      <c r="AA33" s="49">
        <f t="shared" si="8"/>
        <v>0</v>
      </c>
      <c r="AC33" s="79">
        <f t="shared" si="9"/>
        <v>3.2489604410917459E-18</v>
      </c>
      <c r="AD33" s="49" cm="1">
        <f t="array" ref="AD33">IF($M33&lt;clplus3,((gamma)^$M33)/(FACT($M33)),0)</f>
        <v>0</v>
      </c>
      <c r="AE33" s="49" cm="1">
        <f t="array" ref="AE33">IF($M33&lt;clplus3,(((clplus3-1)/clplus3)*AC33),0)</f>
        <v>0</v>
      </c>
      <c r="AG33" s="79">
        <f t="shared" si="10"/>
        <v>8.4753769016652946E-20</v>
      </c>
      <c r="AH33" s="49">
        <f t="shared" si="11"/>
        <v>0</v>
      </c>
      <c r="AI33" s="49">
        <f t="shared" si="12"/>
        <v>0</v>
      </c>
      <c r="AK33" s="79">
        <f t="shared" si="13"/>
        <v>4.5307911046672517E-21</v>
      </c>
      <c r="AL33" s="49">
        <f t="shared" si="14"/>
        <v>0</v>
      </c>
      <c r="AM33" s="49">
        <f t="shared" si="15"/>
        <v>0</v>
      </c>
      <c r="AO33" s="79">
        <f t="shared" si="16"/>
        <v>4.0956172978462378E-22</v>
      </c>
      <c r="AP33" s="49">
        <f t="shared" si="17"/>
        <v>0</v>
      </c>
      <c r="AQ33" s="49">
        <f t="shared" si="18"/>
        <v>0</v>
      </c>
    </row>
    <row r="34" spans="1:43" s="49" customFormat="1" ht="10.5" customHeight="1" x14ac:dyDescent="0.2">
      <c r="A34" s="83" t="s">
        <v>114</v>
      </c>
      <c r="B34" s="84" t="s">
        <v>53</v>
      </c>
      <c r="C34" s="193" t="s">
        <v>122</v>
      </c>
      <c r="D34" s="193" t="s">
        <v>54</v>
      </c>
      <c r="E34" s="194" t="s">
        <v>55</v>
      </c>
      <c r="F34" s="194"/>
      <c r="G34" s="195" t="s">
        <v>25</v>
      </c>
      <c r="H34" s="193" t="s">
        <v>27</v>
      </c>
      <c r="I34" s="193" t="s">
        <v>23</v>
      </c>
      <c r="J34" s="193" t="s">
        <v>21</v>
      </c>
      <c r="K34" s="193" t="s">
        <v>36</v>
      </c>
      <c r="M34" s="75">
        <v>26</v>
      </c>
      <c r="N34" s="192">
        <f t="shared" si="0"/>
        <v>9.3771650889784233E-10</v>
      </c>
      <c r="O34" s="192">
        <f t="shared" si="19"/>
        <v>0.99999999921856941</v>
      </c>
      <c r="Q34" s="79">
        <f t="shared" si="1"/>
        <v>9.3771650889784233E-10</v>
      </c>
      <c r="R34" s="49">
        <f t="shared" si="2"/>
        <v>0</v>
      </c>
      <c r="S34" s="49">
        <f t="shared" si="20"/>
        <v>0</v>
      </c>
      <c r="U34" s="51">
        <f t="shared" si="3"/>
        <v>5.9369978015555549E-14</v>
      </c>
      <c r="V34" s="49">
        <f t="shared" si="4"/>
        <v>0</v>
      </c>
      <c r="W34" s="51">
        <f t="shared" si="5"/>
        <v>0</v>
      </c>
      <c r="Y34" s="79">
        <f t="shared" si="6"/>
        <v>7.999156575116008E-17</v>
      </c>
      <c r="Z34" s="49">
        <f t="shared" si="7"/>
        <v>0</v>
      </c>
      <c r="AA34" s="49">
        <f t="shared" si="8"/>
        <v>0</v>
      </c>
      <c r="AC34" s="79">
        <f t="shared" si="9"/>
        <v>5.9072008019849923E-19</v>
      </c>
      <c r="AD34" s="49" cm="1">
        <f t="array" ref="AD34">IF($M34&lt;clplus3,((gamma)^$M34)/(FACT($M34)),0)</f>
        <v>0</v>
      </c>
      <c r="AE34" s="49" cm="1">
        <f t="array" ref="AE34">IF($M34&lt;clplus3,(((clplus3-1)/clplus3)*AC34),0)</f>
        <v>0</v>
      </c>
      <c r="AG34" s="79">
        <f t="shared" si="10"/>
        <v>1.2841480154038325E-20</v>
      </c>
      <c r="AH34" s="49">
        <f t="shared" si="11"/>
        <v>0</v>
      </c>
      <c r="AI34" s="49">
        <f t="shared" si="12"/>
        <v>0</v>
      </c>
      <c r="AK34" s="79">
        <f t="shared" si="13"/>
        <v>5.8841442917756506E-22</v>
      </c>
      <c r="AL34" s="49">
        <f t="shared" si="14"/>
        <v>0</v>
      </c>
      <c r="AM34" s="49">
        <f t="shared" si="15"/>
        <v>0</v>
      </c>
      <c r="AO34" s="79">
        <f t="shared" si="16"/>
        <v>4.6541105657343612E-23</v>
      </c>
      <c r="AP34" s="49">
        <f t="shared" si="17"/>
        <v>0</v>
      </c>
      <c r="AQ34" s="49">
        <f t="shared" si="18"/>
        <v>0</v>
      </c>
    </row>
    <row r="35" spans="1:43" s="49" customFormat="1" ht="10.5" customHeight="1" x14ac:dyDescent="0.2">
      <c r="A35" s="172">
        <f>(Pe0*tau*(gamma^cl))/(FACT(cl)*(1-tau)^2)</f>
        <v>0.2367424242424242</v>
      </c>
      <c r="B35" s="118">
        <f>cl</f>
        <v>2</v>
      </c>
      <c r="C35" s="173">
        <f t="shared" ref="C35:C40" si="22">D35+E35</f>
        <v>0</v>
      </c>
      <c r="D35" s="174">
        <f>csoc*cl*K35+csli*cl*(1-K35)</f>
        <v>0</v>
      </c>
      <c r="E35" s="175">
        <f t="shared" ref="E35:E41" si="23">cclate*(J35-I35)+cclesp*I35</f>
        <v>0</v>
      </c>
      <c r="F35" s="176"/>
      <c r="G35" s="177">
        <f t="shared" ref="G35:G41" si="24">H35+(1/micro)</f>
        <v>1.9097222222222224E-2</v>
      </c>
      <c r="H35" s="178">
        <f t="shared" ref="H35:H41" si="25">I35/lmbd</f>
        <v>3.9457070707070701E-3</v>
      </c>
      <c r="I35" s="178">
        <f t="shared" ref="I35:I40" si="26">A35</f>
        <v>0.2367424242424242</v>
      </c>
      <c r="J35" s="178">
        <f t="shared" ref="J35:J41" si="27">lmbd*G35</f>
        <v>1.1458333333333335</v>
      </c>
      <c r="K35" s="178">
        <f>K10</f>
        <v>0.45454545454545459</v>
      </c>
      <c r="M35" s="75">
        <v>27</v>
      </c>
      <c r="N35" s="192">
        <f t="shared" si="0"/>
        <v>4.2623477677174649E-10</v>
      </c>
      <c r="O35" s="192">
        <f t="shared" si="19"/>
        <v>0.99999999964480424</v>
      </c>
      <c r="Q35" s="79">
        <f t="shared" si="1"/>
        <v>4.2623477677174649E-10</v>
      </c>
      <c r="R35" s="49">
        <f t="shared" si="2"/>
        <v>0</v>
      </c>
      <c r="S35" s="49">
        <f t="shared" si="20"/>
        <v>0</v>
      </c>
      <c r="U35" s="51">
        <f t="shared" si="3"/>
        <v>1.7990902428956227E-14</v>
      </c>
      <c r="V35" s="49">
        <f t="shared" si="4"/>
        <v>0</v>
      </c>
      <c r="W35" s="51">
        <f t="shared" si="5"/>
        <v>0</v>
      </c>
      <c r="Y35" s="79">
        <f t="shared" si="6"/>
        <v>1.8179901307081836E-17</v>
      </c>
      <c r="Z35" s="49">
        <f t="shared" si="7"/>
        <v>0</v>
      </c>
      <c r="AA35" s="49">
        <f t="shared" si="8"/>
        <v>0</v>
      </c>
      <c r="AC35" s="79">
        <f t="shared" si="9"/>
        <v>1.0740365094518168E-19</v>
      </c>
      <c r="AD35" s="49" cm="1">
        <f t="array" ref="AD35">IF($M35&lt;clplus3,((gamma)^$M35)/(FACT($M35)),0)</f>
        <v>0</v>
      </c>
      <c r="AE35" s="49" cm="1">
        <f t="array" ref="AE35">IF($M35&lt;clplus3,(((clplus3-1)/clplus3)*AC35),0)</f>
        <v>0</v>
      </c>
      <c r="AG35" s="79">
        <f t="shared" si="10"/>
        <v>1.9456788112179283E-21</v>
      </c>
      <c r="AH35" s="49">
        <f t="shared" si="11"/>
        <v>0</v>
      </c>
      <c r="AI35" s="49">
        <f t="shared" si="12"/>
        <v>0</v>
      </c>
      <c r="AK35" s="79">
        <f t="shared" si="13"/>
        <v>7.6417458334748699E-23</v>
      </c>
      <c r="AL35" s="49">
        <f t="shared" si="14"/>
        <v>0</v>
      </c>
      <c r="AM35" s="49">
        <f t="shared" si="15"/>
        <v>0</v>
      </c>
      <c r="AO35" s="79">
        <f t="shared" si="16"/>
        <v>5.2887620065163196E-24</v>
      </c>
      <c r="AP35" s="49">
        <f t="shared" si="17"/>
        <v>0</v>
      </c>
      <c r="AQ35" s="49">
        <f t="shared" si="18"/>
        <v>0</v>
      </c>
    </row>
    <row r="36" spans="1:43" s="49" customFormat="1" ht="10.5" customHeight="1" x14ac:dyDescent="0.2">
      <c r="A36" s="172">
        <f>(U8*($K$8/(clplus1*$K$9))*(gamma^clplus1))/(FACT(B36)*(1-($K$8/(clplus1*$K$9)))^2)</f>
        <v>3.1220925513115901E-2</v>
      </c>
      <c r="B36" s="118">
        <f>clplus1</f>
        <v>3</v>
      </c>
      <c r="C36" s="173">
        <f t="shared" si="22"/>
        <v>0</v>
      </c>
      <c r="D36" s="174">
        <f>csoc*clplus1*K36+csli*clplus1*(1-K36)</f>
        <v>0</v>
      </c>
      <c r="E36" s="175">
        <f t="shared" si="23"/>
        <v>0</v>
      </c>
      <c r="F36" s="176"/>
      <c r="G36" s="177">
        <f t="shared" si="24"/>
        <v>1.5671863910067085E-2</v>
      </c>
      <c r="H36" s="178">
        <f t="shared" si="25"/>
        <v>5.2034875855193168E-4</v>
      </c>
      <c r="I36" s="178">
        <f t="shared" si="26"/>
        <v>3.1220925513115901E-2</v>
      </c>
      <c r="J36" s="178">
        <f t="shared" si="27"/>
        <v>0.94031183460402512</v>
      </c>
      <c r="K36" s="178">
        <f>U5</f>
        <v>0.30303030303030304</v>
      </c>
      <c r="M36" s="75">
        <v>28</v>
      </c>
      <c r="N36" s="192">
        <f t="shared" si="0"/>
        <v>1.9374308035079385E-10</v>
      </c>
      <c r="O36" s="192">
        <f t="shared" si="19"/>
        <v>0.99999999983854737</v>
      </c>
      <c r="Q36" s="79">
        <f t="shared" si="1"/>
        <v>1.9374308035079385E-10</v>
      </c>
      <c r="R36" s="49">
        <f t="shared" si="2"/>
        <v>0</v>
      </c>
      <c r="S36" s="49">
        <f t="shared" si="20"/>
        <v>0</v>
      </c>
      <c r="U36" s="51">
        <f t="shared" si="3"/>
        <v>5.4517886148352208E-15</v>
      </c>
      <c r="V36" s="49">
        <f t="shared" si="4"/>
        <v>0</v>
      </c>
      <c r="W36" s="51">
        <f t="shared" si="5"/>
        <v>0</v>
      </c>
      <c r="Y36" s="79">
        <f t="shared" si="6"/>
        <v>4.1317957516095081E-18</v>
      </c>
      <c r="Z36" s="49">
        <f t="shared" si="7"/>
        <v>0</v>
      </c>
      <c r="AA36" s="49">
        <f t="shared" si="8"/>
        <v>0</v>
      </c>
      <c r="AC36" s="79">
        <f t="shared" si="9"/>
        <v>1.9527936535487579E-20</v>
      </c>
      <c r="AD36" s="49" cm="1">
        <f t="array" ref="AD36">IF($M36&lt;clplus3,((gamma)^$M36)/(FACT($M36)),0)</f>
        <v>0</v>
      </c>
      <c r="AE36" s="49" cm="1">
        <f t="array" ref="AE36">IF($M36&lt;clplus3,(((clplus3-1)/clplus3)*AC36),0)</f>
        <v>0</v>
      </c>
      <c r="AG36" s="79">
        <f t="shared" si="10"/>
        <v>2.9479981988150428E-22</v>
      </c>
      <c r="AH36" s="49">
        <f t="shared" si="11"/>
        <v>0</v>
      </c>
      <c r="AI36" s="49">
        <f t="shared" si="12"/>
        <v>0</v>
      </c>
      <c r="AK36" s="79">
        <f t="shared" si="13"/>
        <v>9.924345238279051E-24</v>
      </c>
      <c r="AL36" s="49">
        <f t="shared" si="14"/>
        <v>0</v>
      </c>
      <c r="AM36" s="49">
        <f t="shared" si="15"/>
        <v>0</v>
      </c>
      <c r="AO36" s="79">
        <f t="shared" si="16"/>
        <v>6.0099568255867262E-25</v>
      </c>
      <c r="AP36" s="49">
        <f t="shared" si="17"/>
        <v>0</v>
      </c>
      <c r="AQ36" s="49">
        <f t="shared" si="18"/>
        <v>0</v>
      </c>
    </row>
    <row r="37" spans="1:43" s="49" customFormat="1" ht="10.5" customHeight="1" x14ac:dyDescent="0.2">
      <c r="A37" s="172">
        <f>(Y8*Y5*(gamma^clplus2))/(FACT(B37)*(1-Y5)^2)</f>
        <v>4.3601147861259048E-3</v>
      </c>
      <c r="B37" s="118">
        <f>clplus2</f>
        <v>4</v>
      </c>
      <c r="C37" s="173">
        <f t="shared" si="22"/>
        <v>0</v>
      </c>
      <c r="D37" s="174">
        <f>csoc*clplus2*K37+csli*clplus2*(1-K37)</f>
        <v>0</v>
      </c>
      <c r="E37" s="175">
        <f t="shared" si="23"/>
        <v>0</v>
      </c>
      <c r="F37" s="176"/>
      <c r="G37" s="177">
        <f t="shared" si="24"/>
        <v>1.5224183731283918E-2</v>
      </c>
      <c r="H37" s="178">
        <f t="shared" si="25"/>
        <v>7.2668579768765077E-5</v>
      </c>
      <c r="I37" s="178">
        <f t="shared" si="26"/>
        <v>4.3601147861259048E-3</v>
      </c>
      <c r="J37" s="178">
        <f t="shared" si="27"/>
        <v>0.91345102387703503</v>
      </c>
      <c r="K37" s="178">
        <f>Y5</f>
        <v>0.22727272727272727</v>
      </c>
      <c r="M37" s="75">
        <v>29</v>
      </c>
      <c r="N37" s="192">
        <f t="shared" si="0"/>
        <v>8.806503652308811E-11</v>
      </c>
      <c r="O37" s="192">
        <f t="shared" si="19"/>
        <v>0.99999999992661237</v>
      </c>
      <c r="Q37" s="79">
        <f t="shared" si="1"/>
        <v>8.806503652308811E-11</v>
      </c>
      <c r="R37" s="49">
        <f t="shared" si="2"/>
        <v>0</v>
      </c>
      <c r="S37" s="49">
        <f t="shared" si="20"/>
        <v>0</v>
      </c>
      <c r="U37" s="51">
        <f t="shared" si="3"/>
        <v>1.652057156010673E-15</v>
      </c>
      <c r="V37" s="49">
        <f t="shared" si="4"/>
        <v>0</v>
      </c>
      <c r="W37" s="51">
        <f t="shared" si="5"/>
        <v>0</v>
      </c>
      <c r="Y37" s="79">
        <f t="shared" si="6"/>
        <v>9.3904448900216099E-19</v>
      </c>
      <c r="Z37" s="49">
        <f t="shared" si="7"/>
        <v>0</v>
      </c>
      <c r="AA37" s="49">
        <f t="shared" si="8"/>
        <v>0</v>
      </c>
      <c r="AC37" s="79">
        <f t="shared" si="9"/>
        <v>3.5505339155431959E-21</v>
      </c>
      <c r="AD37" s="49" cm="1">
        <f t="array" ref="AD37">IF($M37&lt;clplus3,((gamma)^$M37)/(FACT($M37)),0)</f>
        <v>0</v>
      </c>
      <c r="AE37" s="49" cm="1">
        <f t="array" ref="AE37">IF($M37&lt;clplus3,(((clplus3-1)/clplus3)*AC37),0)</f>
        <v>0</v>
      </c>
      <c r="AG37" s="79">
        <f t="shared" si="10"/>
        <v>4.4666639375985495E-23</v>
      </c>
      <c r="AH37" s="49">
        <f t="shared" si="11"/>
        <v>0</v>
      </c>
      <c r="AI37" s="49">
        <f t="shared" si="12"/>
        <v>0</v>
      </c>
      <c r="AK37" s="79">
        <f t="shared" si="13"/>
        <v>1.2888760049713052E-24</v>
      </c>
      <c r="AL37" s="49">
        <f t="shared" si="14"/>
        <v>0</v>
      </c>
      <c r="AM37" s="49">
        <f t="shared" si="15"/>
        <v>0</v>
      </c>
      <c r="AO37" s="79">
        <f t="shared" si="16"/>
        <v>6.8294963927121881E-26</v>
      </c>
      <c r="AP37" s="49">
        <f t="shared" si="17"/>
        <v>0</v>
      </c>
      <c r="AQ37" s="49">
        <f t="shared" si="18"/>
        <v>0</v>
      </c>
    </row>
    <row r="38" spans="1:43" s="49" customFormat="1" ht="10.5" customHeight="1" x14ac:dyDescent="0.2">
      <c r="A38" s="172">
        <f>(AC8*AC5*(gamma^clplus3))/(FACT(B38)*(1-AC5)^2)</f>
        <v>5.6615568851155749E-4</v>
      </c>
      <c r="B38" s="118">
        <f>clplus3</f>
        <v>5</v>
      </c>
      <c r="C38" s="173">
        <f t="shared" si="22"/>
        <v>0</v>
      </c>
      <c r="D38" s="174">
        <f>csoc*clplus3*K38+csli*clplus3*(1-K38)</f>
        <v>0</v>
      </c>
      <c r="E38" s="175">
        <f t="shared" si="23"/>
        <v>0</v>
      </c>
      <c r="F38" s="176"/>
      <c r="G38" s="177">
        <f t="shared" si="24"/>
        <v>1.5160951079657011E-2</v>
      </c>
      <c r="H38" s="178">
        <f t="shared" si="25"/>
        <v>9.4359281418592913E-6</v>
      </c>
      <c r="I38" s="178">
        <f t="shared" si="26"/>
        <v>5.6615568851155749E-4</v>
      </c>
      <c r="J38" s="178">
        <f t="shared" si="27"/>
        <v>0.90965706477942065</v>
      </c>
      <c r="K38" s="178">
        <f>AC5</f>
        <v>0.18181818181818182</v>
      </c>
      <c r="M38" s="75">
        <v>30</v>
      </c>
      <c r="N38" s="192">
        <f t="shared" si="0"/>
        <v>4.0029562055949142E-11</v>
      </c>
      <c r="O38" s="192">
        <f t="shared" si="19"/>
        <v>0.99999999996664191</v>
      </c>
      <c r="Q38" s="79">
        <f t="shared" si="1"/>
        <v>4.0029562055949142E-11</v>
      </c>
      <c r="R38" s="49">
        <f t="shared" si="2"/>
        <v>0</v>
      </c>
      <c r="S38" s="49">
        <f t="shared" si="20"/>
        <v>0</v>
      </c>
      <c r="U38" s="51">
        <f t="shared" si="3"/>
        <v>5.0062338060929488E-16</v>
      </c>
      <c r="V38" s="49">
        <f t="shared" si="4"/>
        <v>0</v>
      </c>
      <c r="W38" s="51">
        <f t="shared" si="5"/>
        <v>0</v>
      </c>
      <c r="Y38" s="79">
        <f t="shared" si="6"/>
        <v>2.1341920204594567E-19</v>
      </c>
      <c r="Z38" s="49">
        <f t="shared" si="7"/>
        <v>0</v>
      </c>
      <c r="AA38" s="49">
        <f t="shared" si="8"/>
        <v>0</v>
      </c>
      <c r="AC38" s="79">
        <f t="shared" si="9"/>
        <v>6.4555162100785382E-22</v>
      </c>
      <c r="AD38" s="49" cm="1">
        <f t="array" ref="AD38">IF($M38&lt;clplus3,((gamma)^$M38)/(FACT($M38)),0)</f>
        <v>0</v>
      </c>
      <c r="AE38" s="49" cm="1">
        <f t="array" ref="AE38">IF($M38&lt;clplus3,(((clplus3-1)/clplus3)*AC38),0)</f>
        <v>0</v>
      </c>
      <c r="AG38" s="79">
        <f t="shared" si="10"/>
        <v>6.7676726327250748E-24</v>
      </c>
      <c r="AH38" s="49">
        <f t="shared" si="11"/>
        <v>0</v>
      </c>
      <c r="AI38" s="49">
        <f t="shared" si="12"/>
        <v>0</v>
      </c>
      <c r="AK38" s="79">
        <f t="shared" si="13"/>
        <v>1.6738649415211754E-25</v>
      </c>
      <c r="AL38" s="49">
        <f t="shared" si="14"/>
        <v>0</v>
      </c>
      <c r="AM38" s="49">
        <f t="shared" si="15"/>
        <v>0</v>
      </c>
      <c r="AO38" s="79">
        <f t="shared" si="16"/>
        <v>7.7607913553547586E-27</v>
      </c>
      <c r="AP38" s="49">
        <f t="shared" si="17"/>
        <v>0</v>
      </c>
      <c r="AQ38" s="49">
        <f t="shared" si="18"/>
        <v>0</v>
      </c>
    </row>
    <row r="39" spans="1:43" s="49" customFormat="1" ht="10.5" customHeight="1" x14ac:dyDescent="0.2">
      <c r="A39" s="172">
        <f>(AG8*AG5*(gamma^clplus4))/(FACT(B39)*(1-AG5)^2)</f>
        <v>6.6475509903110894E-5</v>
      </c>
      <c r="B39" s="118">
        <f>clplus4</f>
        <v>6</v>
      </c>
      <c r="C39" s="173">
        <f t="shared" si="22"/>
        <v>0</v>
      </c>
      <c r="D39" s="174">
        <f>csoc*clplus4*K39+csli*clplus4*(1-K39)</f>
        <v>0</v>
      </c>
      <c r="E39" s="175">
        <f t="shared" si="23"/>
        <v>0</v>
      </c>
      <c r="F39" s="176"/>
      <c r="G39" s="177">
        <f t="shared" si="24"/>
        <v>1.5152623076680204E-2</v>
      </c>
      <c r="H39" s="178">
        <f t="shared" si="25"/>
        <v>1.1079251650518483E-6</v>
      </c>
      <c r="I39" s="178">
        <f t="shared" si="26"/>
        <v>6.6475509903110894E-5</v>
      </c>
      <c r="J39" s="178">
        <f t="shared" si="27"/>
        <v>0.9091573846008123</v>
      </c>
      <c r="K39" s="178">
        <f>AG5</f>
        <v>0.15151515151515152</v>
      </c>
      <c r="M39" s="75">
        <v>31</v>
      </c>
      <c r="N39" s="192">
        <f t="shared" si="0"/>
        <v>1.8195255479976882E-11</v>
      </c>
      <c r="O39" s="192">
        <f t="shared" si="19"/>
        <v>0.99999999998483713</v>
      </c>
      <c r="Q39" s="79">
        <f t="shared" si="1"/>
        <v>1.8195255479976882E-11</v>
      </c>
      <c r="R39" s="49">
        <f t="shared" si="2"/>
        <v>0</v>
      </c>
      <c r="S39" s="49">
        <f t="shared" si="20"/>
        <v>0</v>
      </c>
      <c r="U39" s="51">
        <f t="shared" si="3"/>
        <v>1.5170405473008936E-16</v>
      </c>
      <c r="V39" s="49">
        <f t="shared" si="4"/>
        <v>0</v>
      </c>
      <c r="W39" s="51">
        <f t="shared" si="5"/>
        <v>0</v>
      </c>
      <c r="Y39" s="79">
        <f t="shared" si="6"/>
        <v>4.8504364101351286E-20</v>
      </c>
      <c r="Z39" s="49">
        <f t="shared" si="7"/>
        <v>0</v>
      </c>
      <c r="AA39" s="49">
        <f t="shared" si="8"/>
        <v>0</v>
      </c>
      <c r="AC39" s="79">
        <f t="shared" si="9"/>
        <v>1.1737302200142797E-22</v>
      </c>
      <c r="AD39" s="49" cm="1">
        <f t="array" ref="AD39">IF($M39&lt;clplus3,((gamma)^$M39)/(FACT($M39)),0)</f>
        <v>0</v>
      </c>
      <c r="AE39" s="49" cm="1">
        <f t="array" ref="AE39">IF($M39&lt;clplus3,(((clplus3-1)/clplus3)*AC39),0)</f>
        <v>0</v>
      </c>
      <c r="AG39" s="79">
        <f t="shared" si="10"/>
        <v>1.0254049443522841E-24</v>
      </c>
      <c r="AH39" s="49">
        <f t="shared" si="11"/>
        <v>0</v>
      </c>
      <c r="AI39" s="49">
        <f t="shared" si="12"/>
        <v>0</v>
      </c>
      <c r="AK39" s="79">
        <f t="shared" si="13"/>
        <v>2.1738505734041238E-26</v>
      </c>
      <c r="AL39" s="49">
        <f t="shared" si="14"/>
        <v>0</v>
      </c>
      <c r="AM39" s="49">
        <f t="shared" si="15"/>
        <v>0</v>
      </c>
      <c r="AO39" s="79">
        <f t="shared" si="16"/>
        <v>8.8190810856304064E-28</v>
      </c>
      <c r="AP39" s="49">
        <f t="shared" si="17"/>
        <v>0</v>
      </c>
      <c r="AQ39" s="49">
        <f t="shared" si="18"/>
        <v>0</v>
      </c>
    </row>
    <row r="40" spans="1:43" s="49" customFormat="1" ht="10.5" customHeight="1" x14ac:dyDescent="0.2">
      <c r="A40" s="172">
        <f>(AK8*AK5*(gamma^clplus5))/(FACT(B40)*(1-AK5)^2)</f>
        <v>7.0363626081461589E-6</v>
      </c>
      <c r="B40" s="118">
        <f>clplus5</f>
        <v>7</v>
      </c>
      <c r="C40" s="173">
        <f t="shared" si="22"/>
        <v>0</v>
      </c>
      <c r="D40" s="174">
        <f>csoc*clplus5*K40+csli*clplus5*(1-K40)</f>
        <v>0</v>
      </c>
      <c r="E40" s="175">
        <f t="shared" si="23"/>
        <v>0</v>
      </c>
      <c r="F40" s="176"/>
      <c r="G40" s="177">
        <f t="shared" si="24"/>
        <v>1.5151632424225289E-2</v>
      </c>
      <c r="H40" s="178">
        <f t="shared" si="25"/>
        <v>1.1727271013576931E-7</v>
      </c>
      <c r="I40" s="178">
        <f t="shared" si="26"/>
        <v>7.0363626081461589E-6</v>
      </c>
      <c r="J40" s="178">
        <f t="shared" si="27"/>
        <v>0.9090979454535173</v>
      </c>
      <c r="K40" s="178">
        <f>AK5</f>
        <v>0.12987012987012986</v>
      </c>
      <c r="M40" s="75">
        <v>32</v>
      </c>
      <c r="N40" s="192">
        <f t="shared" ref="N40:N71" si="28">IF(pop="M",Q40,"")</f>
        <v>8.270570672716765E-12</v>
      </c>
      <c r="O40" s="192">
        <f t="shared" si="19"/>
        <v>0.99999999999310774</v>
      </c>
      <c r="Q40" s="79">
        <f t="shared" si="1"/>
        <v>8.270570672716765E-12</v>
      </c>
      <c r="R40" s="49">
        <f t="shared" si="2"/>
        <v>0</v>
      </c>
      <c r="S40" s="49">
        <f t="shared" si="20"/>
        <v>0</v>
      </c>
      <c r="U40" s="51">
        <f t="shared" si="3"/>
        <v>4.5970925675784657E-17</v>
      </c>
      <c r="V40" s="49">
        <f t="shared" si="4"/>
        <v>0</v>
      </c>
      <c r="W40" s="51">
        <f t="shared" si="5"/>
        <v>0</v>
      </c>
      <c r="Y40" s="79">
        <f t="shared" si="6"/>
        <v>1.1023719113943474E-20</v>
      </c>
      <c r="Z40" s="49">
        <f t="shared" si="7"/>
        <v>0</v>
      </c>
      <c r="AA40" s="49">
        <f t="shared" si="8"/>
        <v>0</v>
      </c>
      <c r="AC40" s="79">
        <f t="shared" si="9"/>
        <v>2.1340549454805087E-23</v>
      </c>
      <c r="AD40" s="49" cm="1">
        <f t="array" ref="AD40">IF($M40&lt;clplus3,((gamma)^$M40)/(FACT($M40)),0)</f>
        <v>0</v>
      </c>
      <c r="AE40" s="49" cm="1">
        <f t="array" ref="AE40">IF($M40&lt;clplus3,(((clplus3-1)/clplus3)*AC40),0)</f>
        <v>0</v>
      </c>
      <c r="AG40" s="79">
        <f t="shared" si="10"/>
        <v>1.5536438550792185E-25</v>
      </c>
      <c r="AH40" s="49">
        <f t="shared" si="11"/>
        <v>0</v>
      </c>
      <c r="AI40" s="49">
        <f t="shared" si="12"/>
        <v>0</v>
      </c>
      <c r="AK40" s="79">
        <f t="shared" si="13"/>
        <v>2.823182562862498E-27</v>
      </c>
      <c r="AL40" s="49">
        <f t="shared" si="14"/>
        <v>0</v>
      </c>
      <c r="AM40" s="49">
        <f t="shared" si="15"/>
        <v>0</v>
      </c>
      <c r="AO40" s="79">
        <f t="shared" si="16"/>
        <v>1.0021683051852734E-28</v>
      </c>
      <c r="AP40" s="49">
        <f t="shared" si="17"/>
        <v>0</v>
      </c>
      <c r="AQ40" s="49">
        <f t="shared" si="18"/>
        <v>0</v>
      </c>
    </row>
    <row r="41" spans="1:43" s="49" customFormat="1" ht="10.5" customHeight="1" x14ac:dyDescent="0.2">
      <c r="A41" s="172">
        <f>(AO8*AO5*(gamma^clminus1))/(FACT(B41)*(1-AO5)^2)</f>
        <v>6.7424581872604024E-7</v>
      </c>
      <c r="B41" s="118">
        <f>clminus1</f>
        <v>8</v>
      </c>
      <c r="C41" s="173">
        <f>D41+E41</f>
        <v>0</v>
      </c>
      <c r="D41" s="174">
        <f>csoc*clminus1*K41+csli*clminus1*(1-K41)</f>
        <v>0</v>
      </c>
      <c r="E41" s="175">
        <f t="shared" si="23"/>
        <v>0</v>
      </c>
      <c r="F41" s="176"/>
      <c r="G41" s="177">
        <f t="shared" si="24"/>
        <v>1.5151526388945465E-2</v>
      </c>
      <c r="H41" s="178">
        <f t="shared" si="25"/>
        <v>1.1237430312100671E-8</v>
      </c>
      <c r="I41" s="178">
        <f>A41</f>
        <v>6.7424581872604024E-7</v>
      </c>
      <c r="J41" s="178">
        <f t="shared" si="27"/>
        <v>0.9090915833367279</v>
      </c>
      <c r="K41" s="178">
        <f>AO5</f>
        <v>0.11363636363636363</v>
      </c>
      <c r="M41" s="75">
        <v>33</v>
      </c>
      <c r="N41" s="192">
        <f t="shared" si="28"/>
        <v>3.7593503057803477E-12</v>
      </c>
      <c r="O41" s="192">
        <f t="shared" si="19"/>
        <v>0.99999999999686706</v>
      </c>
      <c r="Q41" s="79">
        <f t="shared" ref="Q41:Q72" si="29">IF(M41&lt;cl,Q40*(gamma/M41),Q40*(gamma/cl))</f>
        <v>3.7593503057803477E-12</v>
      </c>
      <c r="R41" s="49">
        <f t="shared" ref="R41:R72" si="30">IF(M41&lt;cl,((gamma)^M41)/(FACT(M41)),0)</f>
        <v>0</v>
      </c>
      <c r="S41" s="49">
        <f t="shared" si="20"/>
        <v>0</v>
      </c>
      <c r="U41" s="51">
        <f t="shared" ref="U41:U72" si="31">IF(M41&lt;clplus1,U40*(gamma/M41),U40*(gamma/clplus1))</f>
        <v>1.3930583538116563E-17</v>
      </c>
      <c r="V41" s="49">
        <f t="shared" ref="V41:V72" si="32">IF(M41&lt;clplus1,((gamma)^M41)/(FACT(M41)),0)</f>
        <v>0</v>
      </c>
      <c r="W41" s="51">
        <f t="shared" ref="W41:W72" si="33">IF(M41&lt;clplus1,(((clplus1-M41)/clplus1)*U41),0)</f>
        <v>0</v>
      </c>
      <c r="Y41" s="79">
        <f t="shared" ref="Y41:Y72" si="34">IF($M41&lt;clplus2,Y40*(gamma/M41),Y40*(gamma/clplus2))</f>
        <v>2.5053907077144257E-21</v>
      </c>
      <c r="Z41" s="49">
        <f t="shared" ref="Z41:Z72" si="35">IF($M41&lt;clplus2,((gamma)^$M41)/(FACT($M41)),0)</f>
        <v>0</v>
      </c>
      <c r="AA41" s="49">
        <f t="shared" ref="AA41:AA72" si="36">IF($M41&lt;clplus2,(((clplus2-1)/clplus2)*Y41),0)</f>
        <v>0</v>
      </c>
      <c r="AC41" s="79">
        <f t="shared" ref="AC41:AC72" si="37">IF($M41&lt;clplus3,AC40*(gamma/$M41),AC40*(gamma/clplus3))</f>
        <v>3.8800999008736527E-24</v>
      </c>
      <c r="AD41" s="49" cm="1">
        <f t="array" ref="AD41">IF($M41&lt;clplus3,((gamma)^$M41)/(FACT($M41)),0)</f>
        <v>0</v>
      </c>
      <c r="AE41" s="49" cm="1">
        <f t="array" ref="AE41">IF($M41&lt;clplus3,(((clplus3-1)/clplus3)*AC41),0)</f>
        <v>0</v>
      </c>
      <c r="AG41" s="79">
        <f t="shared" ref="AG41:AG72" si="38">IF($M41&lt;clplus4,AG40*(gamma/$M41),AG40*(gamma/clplus4))</f>
        <v>2.354005841029119E-26</v>
      </c>
      <c r="AH41" s="49">
        <f t="shared" ref="AH41:AH72" si="39">IF($M41&lt;clplus4,((gamma)^$M41)/(FACT($M41)),0)</f>
        <v>0</v>
      </c>
      <c r="AI41" s="49">
        <f t="shared" ref="AI41:AI72" si="40">IF($M41&lt;clplus4,(((clplus4-1)/clplus4)*AG41),0)</f>
        <v>0</v>
      </c>
      <c r="AK41" s="79">
        <f t="shared" ref="AK41:AK72" si="41">IF($M41&lt;clplus5,AK40*(gamma/$M41),AK40*(gamma/clplus5))</f>
        <v>3.6664708608603867E-28</v>
      </c>
      <c r="AL41" s="49">
        <f t="shared" ref="AL41:AL72" si="42">IF($M41&lt;clplus5,((gamma)^$M41)/(FACT($M41)),0)</f>
        <v>0</v>
      </c>
      <c r="AM41" s="49">
        <f t="shared" ref="AM41:AM72" si="43">IF($M41&lt;clplus5,(((clplus5-1)/clplus5)*AK41),0)</f>
        <v>0</v>
      </c>
      <c r="AO41" s="79">
        <f t="shared" ref="AO41:AO72" si="44">IF($M41&lt;clminus1,AO40*(gamma/$M41),AO40*(gamma/clminus1))</f>
        <v>1.1388276195287197E-29</v>
      </c>
      <c r="AP41" s="49">
        <f t="shared" ref="AP41:AP72" si="45">IF($M41&lt;clminus1,((gamma)^$M41)/(FACT($M41)),0)</f>
        <v>0</v>
      </c>
      <c r="AQ41" s="49">
        <f t="shared" ref="AQ41:AQ72" si="46">IF($M41&lt;clminus1,(((clminus1-1)/clminus1)*AO41),0)</f>
        <v>0</v>
      </c>
    </row>
    <row r="42" spans="1:43" s="49" customFormat="1" ht="10.5" customHeight="1" x14ac:dyDescent="0.2">
      <c r="D42" s="82"/>
      <c r="J42" s="50"/>
      <c r="K42" s="51"/>
      <c r="M42" s="75">
        <v>34</v>
      </c>
      <c r="N42" s="192">
        <f t="shared" si="28"/>
        <v>1.7087955935365216E-12</v>
      </c>
      <c r="O42" s="192">
        <f t="shared" si="19"/>
        <v>0.99999999999857581</v>
      </c>
      <c r="Q42" s="79">
        <f t="shared" si="29"/>
        <v>1.7087955935365216E-12</v>
      </c>
      <c r="R42" s="49">
        <f t="shared" si="30"/>
        <v>0</v>
      </c>
      <c r="S42" s="49">
        <f t="shared" ref="S42:S73" si="47">IF(M42&lt;cl,(((cl-M42)/cl)*Q42),0)</f>
        <v>0</v>
      </c>
      <c r="U42" s="51">
        <f t="shared" si="31"/>
        <v>4.2213889509444132E-18</v>
      </c>
      <c r="V42" s="49">
        <f t="shared" si="32"/>
        <v>0</v>
      </c>
      <c r="W42" s="51">
        <f t="shared" si="33"/>
        <v>0</v>
      </c>
      <c r="Y42" s="79">
        <f t="shared" si="34"/>
        <v>5.6940697902600584E-22</v>
      </c>
      <c r="Z42" s="49">
        <f t="shared" si="35"/>
        <v>0</v>
      </c>
      <c r="AA42" s="49">
        <f t="shared" si="36"/>
        <v>0</v>
      </c>
      <c r="AC42" s="79">
        <f t="shared" si="37"/>
        <v>7.0547270924975505E-25</v>
      </c>
      <c r="AD42" s="49" cm="1">
        <f t="array" ref="AD42">IF($M42&lt;clplus3,((gamma)^$M42)/(FACT($M42)),0)</f>
        <v>0</v>
      </c>
      <c r="AE42" s="49" cm="1">
        <f t="array" ref="AE42">IF($M42&lt;clplus3,(((clplus3-1)/clplus3)*AC42),0)</f>
        <v>0</v>
      </c>
      <c r="AG42" s="79">
        <f t="shared" si="38"/>
        <v>3.5666755167107864E-27</v>
      </c>
      <c r="AH42" s="49">
        <f t="shared" si="39"/>
        <v>0</v>
      </c>
      <c r="AI42" s="49">
        <f t="shared" si="40"/>
        <v>0</v>
      </c>
      <c r="AK42" s="79">
        <f t="shared" si="41"/>
        <v>4.7616504686498524E-29</v>
      </c>
      <c r="AL42" s="49">
        <f t="shared" si="42"/>
        <v>0</v>
      </c>
      <c r="AM42" s="49">
        <f t="shared" si="43"/>
        <v>0</v>
      </c>
      <c r="AO42" s="79">
        <f t="shared" si="44"/>
        <v>1.2941222949189997E-30</v>
      </c>
      <c r="AP42" s="49">
        <f t="shared" si="45"/>
        <v>0</v>
      </c>
      <c r="AQ42" s="49">
        <f t="shared" si="46"/>
        <v>0</v>
      </c>
    </row>
    <row r="43" spans="1:43" s="49" customFormat="1" ht="10.5" customHeight="1" x14ac:dyDescent="0.2">
      <c r="D43" s="82"/>
      <c r="J43" s="50"/>
      <c r="K43" s="51"/>
      <c r="M43" s="75">
        <v>35</v>
      </c>
      <c r="N43" s="192">
        <f t="shared" si="28"/>
        <v>7.7672526978932796E-13</v>
      </c>
      <c r="O43" s="192">
        <f t="shared" si="19"/>
        <v>0.99999999999935252</v>
      </c>
      <c r="Q43" s="79">
        <f t="shared" si="29"/>
        <v>7.7672526978932796E-13</v>
      </c>
      <c r="R43" s="49">
        <f t="shared" si="30"/>
        <v>0</v>
      </c>
      <c r="S43" s="49">
        <f t="shared" si="47"/>
        <v>0</v>
      </c>
      <c r="U43" s="51">
        <f t="shared" si="31"/>
        <v>1.2792087730134585E-18</v>
      </c>
      <c r="V43" s="49">
        <f t="shared" si="32"/>
        <v>0</v>
      </c>
      <c r="W43" s="51">
        <f t="shared" si="33"/>
        <v>0</v>
      </c>
      <c r="Y43" s="79">
        <f t="shared" si="34"/>
        <v>1.2941067705136495E-22</v>
      </c>
      <c r="Z43" s="49">
        <f t="shared" si="35"/>
        <v>0</v>
      </c>
      <c r="AA43" s="49">
        <f t="shared" si="36"/>
        <v>0</v>
      </c>
      <c r="AC43" s="79">
        <f t="shared" si="37"/>
        <v>1.2826776531813729E-25</v>
      </c>
      <c r="AD43" s="49" cm="1">
        <f t="array" ref="AD43">IF($M43&lt;clplus3,((gamma)^$M43)/(FACT($M43)),0)</f>
        <v>0</v>
      </c>
      <c r="AE43" s="49" cm="1">
        <f t="array" ref="AE43">IF($M43&lt;clplus3,(((clplus3-1)/clplus3)*AC43),0)</f>
        <v>0</v>
      </c>
      <c r="AG43" s="79">
        <f t="shared" si="38"/>
        <v>5.4040538131981613E-28</v>
      </c>
      <c r="AH43" s="49">
        <f t="shared" si="39"/>
        <v>0</v>
      </c>
      <c r="AI43" s="49">
        <f t="shared" si="40"/>
        <v>0</v>
      </c>
      <c r="AK43" s="79">
        <f t="shared" si="41"/>
        <v>6.1839616475972106E-30</v>
      </c>
      <c r="AL43" s="49">
        <f t="shared" si="42"/>
        <v>0</v>
      </c>
      <c r="AM43" s="49">
        <f t="shared" si="43"/>
        <v>0</v>
      </c>
      <c r="AO43" s="79">
        <f t="shared" si="44"/>
        <v>1.4705935169534086E-31</v>
      </c>
      <c r="AP43" s="49">
        <f t="shared" si="45"/>
        <v>0</v>
      </c>
      <c r="AQ43" s="49">
        <f t="shared" si="46"/>
        <v>0</v>
      </c>
    </row>
    <row r="44" spans="1:43" s="49" customFormat="1" ht="10.5" customHeight="1" x14ac:dyDescent="0.25">
      <c r="A44" s="7" t="s">
        <v>121</v>
      </c>
      <c r="D44" s="82"/>
      <c r="J44" s="50"/>
      <c r="K44" s="51"/>
      <c r="M44" s="75">
        <v>36</v>
      </c>
      <c r="N44" s="192">
        <f t="shared" si="28"/>
        <v>3.5305694081333087E-13</v>
      </c>
      <c r="O44" s="192">
        <f t="shared" si="19"/>
        <v>0.99999999999970557</v>
      </c>
      <c r="Q44" s="79">
        <f t="shared" si="29"/>
        <v>3.5305694081333087E-13</v>
      </c>
      <c r="R44" s="49">
        <f t="shared" si="30"/>
        <v>0</v>
      </c>
      <c r="S44" s="49">
        <f t="shared" si="47"/>
        <v>0</v>
      </c>
      <c r="U44" s="51">
        <f t="shared" si="31"/>
        <v>3.8763902212529047E-19</v>
      </c>
      <c r="V44" s="49">
        <f t="shared" si="32"/>
        <v>0</v>
      </c>
      <c r="W44" s="51">
        <f t="shared" si="33"/>
        <v>0</v>
      </c>
      <c r="Y44" s="79">
        <f t="shared" si="34"/>
        <v>2.941151751167385E-23</v>
      </c>
      <c r="Z44" s="49">
        <f t="shared" si="35"/>
        <v>0</v>
      </c>
      <c r="AA44" s="49">
        <f t="shared" si="36"/>
        <v>0</v>
      </c>
      <c r="AC44" s="79">
        <f t="shared" si="37"/>
        <v>2.3321411876024963E-26</v>
      </c>
      <c r="AD44" s="49" cm="1">
        <f t="array" ref="AD44">IF($M44&lt;clplus3,((gamma)^$M44)/(FACT($M44)),0)</f>
        <v>0</v>
      </c>
      <c r="AE44" s="49" cm="1">
        <f t="array" ref="AE44">IF($M44&lt;clplus3,(((clplus3-1)/clplus3)*AC44),0)</f>
        <v>0</v>
      </c>
      <c r="AG44" s="79">
        <f t="shared" si="38"/>
        <v>8.187960323027517E-29</v>
      </c>
      <c r="AH44" s="49">
        <f t="shared" si="39"/>
        <v>0</v>
      </c>
      <c r="AI44" s="49">
        <f t="shared" si="40"/>
        <v>0</v>
      </c>
      <c r="AK44" s="79">
        <f t="shared" si="41"/>
        <v>8.0311190228535203E-31</v>
      </c>
      <c r="AL44" s="49">
        <f t="shared" si="42"/>
        <v>0</v>
      </c>
      <c r="AM44" s="49">
        <f t="shared" si="43"/>
        <v>0</v>
      </c>
      <c r="AO44" s="79">
        <f t="shared" si="44"/>
        <v>1.6711289965379643E-32</v>
      </c>
      <c r="AP44" s="49">
        <f t="shared" si="45"/>
        <v>0</v>
      </c>
      <c r="AQ44" s="49">
        <f t="shared" si="46"/>
        <v>0</v>
      </c>
    </row>
    <row r="45" spans="1:43" s="49" customFormat="1" ht="10.5" customHeight="1" x14ac:dyDescent="0.25">
      <c r="A45" s="7" t="s">
        <v>129</v>
      </c>
      <c r="D45" s="82"/>
      <c r="J45" s="50"/>
      <c r="K45" s="51"/>
      <c r="M45" s="75">
        <v>37</v>
      </c>
      <c r="N45" s="192">
        <f t="shared" si="28"/>
        <v>1.6048042764242312E-13</v>
      </c>
      <c r="O45" s="192">
        <f t="shared" si="19"/>
        <v>0.999999999999866</v>
      </c>
      <c r="Q45" s="79">
        <f t="shared" si="29"/>
        <v>1.6048042764242312E-13</v>
      </c>
      <c r="R45" s="49">
        <f t="shared" si="30"/>
        <v>0</v>
      </c>
      <c r="S45" s="49">
        <f t="shared" si="47"/>
        <v>0</v>
      </c>
      <c r="U45" s="51">
        <f t="shared" si="31"/>
        <v>1.1746637034099712E-19</v>
      </c>
      <c r="V45" s="49">
        <f t="shared" si="32"/>
        <v>0</v>
      </c>
      <c r="W45" s="51">
        <f t="shared" si="33"/>
        <v>0</v>
      </c>
      <c r="Y45" s="79">
        <f t="shared" si="34"/>
        <v>6.6844357981076926E-24</v>
      </c>
      <c r="Z45" s="49">
        <f t="shared" si="35"/>
        <v>0</v>
      </c>
      <c r="AA45" s="49">
        <f t="shared" si="36"/>
        <v>0</v>
      </c>
      <c r="AC45" s="79">
        <f t="shared" si="37"/>
        <v>4.2402567047318117E-27</v>
      </c>
      <c r="AD45" s="49" cm="1">
        <f t="array" ref="AD45">IF($M45&lt;clplus3,((gamma)^$M45)/(FACT($M45)),0)</f>
        <v>0</v>
      </c>
      <c r="AE45" s="49" cm="1">
        <f t="array" ref="AE45">IF($M45&lt;clplus3,(((clplus3-1)/clplus3)*AC45),0)</f>
        <v>0</v>
      </c>
      <c r="AG45" s="79">
        <f t="shared" si="38"/>
        <v>1.2406000489435633E-29</v>
      </c>
      <c r="AH45" s="49">
        <f t="shared" si="39"/>
        <v>0</v>
      </c>
      <c r="AI45" s="49">
        <f t="shared" si="40"/>
        <v>0</v>
      </c>
      <c r="AK45" s="79">
        <f t="shared" si="41"/>
        <v>1.0430024705004571E-31</v>
      </c>
      <c r="AL45" s="49">
        <f t="shared" si="42"/>
        <v>0</v>
      </c>
      <c r="AM45" s="49">
        <f t="shared" si="43"/>
        <v>0</v>
      </c>
      <c r="AO45" s="79">
        <f t="shared" si="44"/>
        <v>1.8990102233385959E-33</v>
      </c>
      <c r="AP45" s="49">
        <f t="shared" si="45"/>
        <v>0</v>
      </c>
      <c r="AQ45" s="49">
        <f t="shared" si="46"/>
        <v>0</v>
      </c>
    </row>
    <row r="46" spans="1:43" s="49" customFormat="1" ht="10.5" customHeight="1" x14ac:dyDescent="0.2">
      <c r="D46" s="82"/>
      <c r="J46" s="50"/>
      <c r="K46" s="51"/>
      <c r="M46" s="75">
        <v>38</v>
      </c>
      <c r="N46" s="192">
        <f t="shared" si="28"/>
        <v>7.2945648928374145E-14</v>
      </c>
      <c r="O46" s="192">
        <f t="shared" si="19"/>
        <v>0.99999999999993894</v>
      </c>
      <c r="Q46" s="79">
        <f t="shared" si="29"/>
        <v>7.2945648928374145E-14</v>
      </c>
      <c r="R46" s="49">
        <f t="shared" si="30"/>
        <v>0</v>
      </c>
      <c r="S46" s="49">
        <f t="shared" si="47"/>
        <v>0</v>
      </c>
      <c r="U46" s="51">
        <f t="shared" si="31"/>
        <v>3.5595869800302162E-20</v>
      </c>
      <c r="V46" s="49">
        <f t="shared" si="32"/>
        <v>0</v>
      </c>
      <c r="W46" s="51">
        <f t="shared" si="33"/>
        <v>0</v>
      </c>
      <c r="Y46" s="79">
        <f t="shared" si="34"/>
        <v>1.5191899541153847E-24</v>
      </c>
      <c r="Z46" s="49">
        <f t="shared" si="35"/>
        <v>0</v>
      </c>
      <c r="AA46" s="49">
        <f t="shared" si="36"/>
        <v>0</v>
      </c>
      <c r="AC46" s="79">
        <f t="shared" si="37"/>
        <v>7.7095576449669308E-28</v>
      </c>
      <c r="AD46" s="49" cm="1">
        <f t="array" ref="AD46">IF($M46&lt;clplus3,((gamma)^$M46)/(FACT($M46)),0)</f>
        <v>0</v>
      </c>
      <c r="AE46" s="49" cm="1">
        <f t="array" ref="AE46">IF($M46&lt;clplus3,(((clplus3-1)/clplus3)*AC46),0)</f>
        <v>0</v>
      </c>
      <c r="AG46" s="79">
        <f t="shared" si="38"/>
        <v>1.8796970438538837E-30</v>
      </c>
      <c r="AH46" s="49">
        <f t="shared" si="39"/>
        <v>0</v>
      </c>
      <c r="AI46" s="49">
        <f t="shared" si="40"/>
        <v>0</v>
      </c>
      <c r="AK46" s="79">
        <f t="shared" si="41"/>
        <v>1.3545486629876066E-32</v>
      </c>
      <c r="AL46" s="49">
        <f t="shared" si="42"/>
        <v>0</v>
      </c>
      <c r="AM46" s="49">
        <f t="shared" si="43"/>
        <v>0</v>
      </c>
      <c r="AO46" s="79">
        <f t="shared" si="44"/>
        <v>2.157966162884768E-34</v>
      </c>
      <c r="AP46" s="49">
        <f t="shared" si="45"/>
        <v>0</v>
      </c>
      <c r="AQ46" s="49">
        <f t="shared" si="46"/>
        <v>0</v>
      </c>
    </row>
    <row r="47" spans="1:43" s="49" customFormat="1" ht="10.5" customHeight="1" x14ac:dyDescent="0.2">
      <c r="D47" s="82"/>
      <c r="J47" s="50"/>
      <c r="K47" s="51"/>
      <c r="M47" s="75">
        <v>39</v>
      </c>
      <c r="N47" s="192">
        <f t="shared" si="28"/>
        <v>3.3157113149260975E-14</v>
      </c>
      <c r="O47" s="192">
        <f t="shared" si="19"/>
        <v>0.99999999999997213</v>
      </c>
      <c r="Q47" s="79">
        <f t="shared" si="29"/>
        <v>3.3157113149260975E-14</v>
      </c>
      <c r="R47" s="49">
        <f t="shared" si="30"/>
        <v>0</v>
      </c>
      <c r="S47" s="49">
        <f t="shared" si="47"/>
        <v>0</v>
      </c>
      <c r="U47" s="51">
        <f t="shared" si="31"/>
        <v>1.0786627212212777E-20</v>
      </c>
      <c r="V47" s="49">
        <f t="shared" si="32"/>
        <v>0</v>
      </c>
      <c r="W47" s="51">
        <f t="shared" si="33"/>
        <v>0</v>
      </c>
      <c r="Y47" s="79">
        <f t="shared" si="34"/>
        <v>3.4527044411713289E-25</v>
      </c>
      <c r="Z47" s="49">
        <f t="shared" si="35"/>
        <v>0</v>
      </c>
      <c r="AA47" s="49">
        <f t="shared" si="36"/>
        <v>0</v>
      </c>
      <c r="AC47" s="79">
        <f t="shared" si="37"/>
        <v>1.4017377536303512E-28</v>
      </c>
      <c r="AD47" s="49" cm="1">
        <f t="array" ref="AD47">IF($M47&lt;clplus3,((gamma)^$M47)/(FACT($M47)),0)</f>
        <v>0</v>
      </c>
      <c r="AE47" s="49" cm="1">
        <f t="array" ref="AE47">IF($M47&lt;clplus3,(((clplus3-1)/clplus3)*AC47),0)</f>
        <v>0</v>
      </c>
      <c r="AG47" s="79">
        <f t="shared" si="38"/>
        <v>2.848025824021036E-31</v>
      </c>
      <c r="AH47" s="49">
        <f t="shared" si="39"/>
        <v>0</v>
      </c>
      <c r="AI47" s="49">
        <f t="shared" si="40"/>
        <v>0</v>
      </c>
      <c r="AK47" s="79">
        <f t="shared" si="41"/>
        <v>1.7591541077761121E-33</v>
      </c>
      <c r="AL47" s="49">
        <f t="shared" si="42"/>
        <v>0</v>
      </c>
      <c r="AM47" s="49">
        <f t="shared" si="43"/>
        <v>0</v>
      </c>
      <c r="AO47" s="79">
        <f t="shared" si="44"/>
        <v>2.452234276005418E-35</v>
      </c>
      <c r="AP47" s="49">
        <f t="shared" si="45"/>
        <v>0</v>
      </c>
      <c r="AQ47" s="49">
        <f t="shared" si="46"/>
        <v>0</v>
      </c>
    </row>
    <row r="48" spans="1:43" s="49" customFormat="1" ht="10.5" customHeight="1" x14ac:dyDescent="0.2">
      <c r="D48" s="82"/>
      <c r="J48" s="50"/>
      <c r="K48" s="51"/>
      <c r="M48" s="75">
        <v>40</v>
      </c>
      <c r="N48" s="192">
        <f t="shared" si="28"/>
        <v>1.5071415067845897E-14</v>
      </c>
      <c r="O48" s="192">
        <f t="shared" si="19"/>
        <v>0.99999999999998723</v>
      </c>
      <c r="Q48" s="79">
        <f t="shared" si="29"/>
        <v>1.5071415067845897E-14</v>
      </c>
      <c r="R48" s="49">
        <f t="shared" si="30"/>
        <v>0</v>
      </c>
      <c r="S48" s="49">
        <f t="shared" si="47"/>
        <v>0</v>
      </c>
      <c r="U48" s="51">
        <f t="shared" si="31"/>
        <v>3.2686749127917507E-21</v>
      </c>
      <c r="V48" s="49">
        <f t="shared" si="32"/>
        <v>0</v>
      </c>
      <c r="W48" s="51">
        <f t="shared" si="33"/>
        <v>0</v>
      </c>
      <c r="Y48" s="79">
        <f t="shared" si="34"/>
        <v>7.8470555481166564E-26</v>
      </c>
      <c r="Z48" s="49">
        <f t="shared" si="35"/>
        <v>0</v>
      </c>
      <c r="AA48" s="49">
        <f t="shared" si="36"/>
        <v>0</v>
      </c>
      <c r="AC48" s="79">
        <f t="shared" si="37"/>
        <v>2.5486140975097292E-29</v>
      </c>
      <c r="AD48" s="49" cm="1">
        <f t="array" ref="AD48">IF($M48&lt;clplus3,((gamma)^$M48)/(FACT($M48)),0)</f>
        <v>0</v>
      </c>
      <c r="AE48" s="49" cm="1">
        <f t="array" ref="AE48">IF($M48&lt;clplus3,(((clplus3-1)/clplus3)*AC48),0)</f>
        <v>0</v>
      </c>
      <c r="AG48" s="79">
        <f t="shared" si="38"/>
        <v>4.3151906424561152E-32</v>
      </c>
      <c r="AH48" s="49">
        <f t="shared" si="39"/>
        <v>0</v>
      </c>
      <c r="AI48" s="49">
        <f t="shared" si="40"/>
        <v>0</v>
      </c>
      <c r="AK48" s="79">
        <f t="shared" si="41"/>
        <v>2.2846157243845608E-34</v>
      </c>
      <c r="AL48" s="49">
        <f t="shared" si="42"/>
        <v>0</v>
      </c>
      <c r="AM48" s="49">
        <f t="shared" si="43"/>
        <v>0</v>
      </c>
      <c r="AO48" s="79">
        <f t="shared" si="44"/>
        <v>2.7866298590970658E-36</v>
      </c>
      <c r="AP48" s="49">
        <f t="shared" si="45"/>
        <v>0</v>
      </c>
      <c r="AQ48" s="49">
        <f t="shared" si="46"/>
        <v>0</v>
      </c>
    </row>
    <row r="49" spans="4:43" s="49" customFormat="1" ht="10.5" customHeight="1" x14ac:dyDescent="0.2">
      <c r="D49" s="82"/>
      <c r="J49" s="50"/>
      <c r="K49" s="51"/>
      <c r="M49" s="75">
        <v>41</v>
      </c>
      <c r="N49" s="192">
        <f t="shared" si="28"/>
        <v>6.8506432126572257E-15</v>
      </c>
      <c r="O49" s="192">
        <f t="shared" si="19"/>
        <v>0.99999999999999412</v>
      </c>
      <c r="Q49" s="79">
        <f t="shared" si="29"/>
        <v>6.8506432126572257E-15</v>
      </c>
      <c r="R49" s="49">
        <f t="shared" si="30"/>
        <v>0</v>
      </c>
      <c r="S49" s="49">
        <f t="shared" si="47"/>
        <v>0</v>
      </c>
      <c r="U49" s="51">
        <f t="shared" si="31"/>
        <v>9.905075493308335E-22</v>
      </c>
      <c r="V49" s="49">
        <f t="shared" si="32"/>
        <v>0</v>
      </c>
      <c r="W49" s="51">
        <f t="shared" si="33"/>
        <v>0</v>
      </c>
      <c r="Y49" s="79">
        <f t="shared" si="34"/>
        <v>1.7834217154810584E-26</v>
      </c>
      <c r="Z49" s="49">
        <f t="shared" si="35"/>
        <v>0</v>
      </c>
      <c r="AA49" s="49">
        <f t="shared" si="36"/>
        <v>0</v>
      </c>
      <c r="AC49" s="79">
        <f t="shared" si="37"/>
        <v>4.633843813654053E-30</v>
      </c>
      <c r="AD49" s="49" cm="1">
        <f t="array" ref="AD49">IF($M49&lt;clplus3,((gamma)^$M49)/(FACT($M49)),0)</f>
        <v>0</v>
      </c>
      <c r="AE49" s="49" cm="1">
        <f t="array" ref="AE49">IF($M49&lt;clplus3,(((clplus3-1)/clplus3)*AC49),0)</f>
        <v>0</v>
      </c>
      <c r="AG49" s="79">
        <f t="shared" si="38"/>
        <v>6.5381676400850225E-33</v>
      </c>
      <c r="AH49" s="49">
        <f t="shared" si="39"/>
        <v>0</v>
      </c>
      <c r="AI49" s="49">
        <f t="shared" si="40"/>
        <v>0</v>
      </c>
      <c r="AK49" s="79">
        <f t="shared" si="41"/>
        <v>2.9670334082916372E-35</v>
      </c>
      <c r="AL49" s="49">
        <f t="shared" si="42"/>
        <v>0</v>
      </c>
      <c r="AM49" s="49">
        <f t="shared" si="43"/>
        <v>0</v>
      </c>
      <c r="AO49" s="79">
        <f t="shared" si="44"/>
        <v>3.1666248398830291E-37</v>
      </c>
      <c r="AP49" s="49">
        <f t="shared" si="45"/>
        <v>0</v>
      </c>
      <c r="AQ49" s="49">
        <f t="shared" si="46"/>
        <v>0</v>
      </c>
    </row>
    <row r="50" spans="4:43" s="49" customFormat="1" ht="10.5" customHeight="1" x14ac:dyDescent="0.2">
      <c r="D50" s="82"/>
      <c r="J50" s="50"/>
      <c r="K50" s="51"/>
      <c r="M50" s="75">
        <v>42</v>
      </c>
      <c r="N50" s="192">
        <f t="shared" si="28"/>
        <v>3.1139287330260116E-15</v>
      </c>
      <c r="O50" s="192">
        <f t="shared" si="19"/>
        <v>0.99999999999999722</v>
      </c>
      <c r="Q50" s="79">
        <f t="shared" si="29"/>
        <v>3.1139287330260116E-15</v>
      </c>
      <c r="R50" s="49">
        <f t="shared" si="30"/>
        <v>0</v>
      </c>
      <c r="S50" s="49">
        <f t="shared" si="47"/>
        <v>0</v>
      </c>
      <c r="U50" s="51">
        <f t="shared" si="31"/>
        <v>3.0015380282752533E-22</v>
      </c>
      <c r="V50" s="49">
        <f t="shared" si="32"/>
        <v>0</v>
      </c>
      <c r="W50" s="51">
        <f t="shared" si="33"/>
        <v>0</v>
      </c>
      <c r="Y50" s="79">
        <f t="shared" si="34"/>
        <v>4.05323117154786E-27</v>
      </c>
      <c r="Z50" s="49">
        <f t="shared" si="35"/>
        <v>0</v>
      </c>
      <c r="AA50" s="49">
        <f t="shared" si="36"/>
        <v>0</v>
      </c>
      <c r="AC50" s="79">
        <f t="shared" si="37"/>
        <v>8.4251705702800972E-31</v>
      </c>
      <c r="AD50" s="49" cm="1">
        <f t="array" ref="AD50">IF($M50&lt;clplus3,((gamma)^$M50)/(FACT($M50)),0)</f>
        <v>0</v>
      </c>
      <c r="AE50" s="49" cm="1">
        <f t="array" ref="AE50">IF($M50&lt;clplus3,(((clplus3-1)/clplus3)*AC50),0)</f>
        <v>0</v>
      </c>
      <c r="AG50" s="79">
        <f t="shared" si="38"/>
        <v>9.9063146061894278E-34</v>
      </c>
      <c r="AH50" s="49">
        <f t="shared" si="39"/>
        <v>0</v>
      </c>
      <c r="AI50" s="49">
        <f t="shared" si="40"/>
        <v>0</v>
      </c>
      <c r="AK50" s="79">
        <f t="shared" si="41"/>
        <v>3.8532901406384896E-36</v>
      </c>
      <c r="AL50" s="49">
        <f t="shared" si="42"/>
        <v>0</v>
      </c>
      <c r="AM50" s="49">
        <f t="shared" si="43"/>
        <v>0</v>
      </c>
      <c r="AO50" s="79">
        <f t="shared" si="44"/>
        <v>3.5984373180488967E-38</v>
      </c>
      <c r="AP50" s="49">
        <f t="shared" si="45"/>
        <v>0</v>
      </c>
      <c r="AQ50" s="49">
        <f t="shared" si="46"/>
        <v>0</v>
      </c>
    </row>
    <row r="51" spans="4:43" s="49" customFormat="1" ht="10.5" customHeight="1" x14ac:dyDescent="0.2">
      <c r="D51" s="82"/>
      <c r="J51" s="50"/>
      <c r="K51" s="51"/>
      <c r="M51" s="75">
        <v>43</v>
      </c>
      <c r="N51" s="192">
        <f t="shared" si="28"/>
        <v>1.4154221513754597E-15</v>
      </c>
      <c r="O51" s="192">
        <f t="shared" si="19"/>
        <v>0.99999999999999867</v>
      </c>
      <c r="Q51" s="79">
        <f t="shared" si="29"/>
        <v>1.4154221513754597E-15</v>
      </c>
      <c r="R51" s="49">
        <f t="shared" si="30"/>
        <v>0</v>
      </c>
      <c r="S51" s="49">
        <f t="shared" si="47"/>
        <v>0</v>
      </c>
      <c r="U51" s="51">
        <f t="shared" si="31"/>
        <v>9.0955697826522834E-23</v>
      </c>
      <c r="V51" s="49">
        <f t="shared" si="32"/>
        <v>0</v>
      </c>
      <c r="W51" s="51">
        <f t="shared" si="33"/>
        <v>0</v>
      </c>
      <c r="Y51" s="79">
        <f t="shared" si="34"/>
        <v>9.2118890262451363E-28</v>
      </c>
      <c r="Z51" s="49">
        <f t="shared" si="35"/>
        <v>0</v>
      </c>
      <c r="AA51" s="49">
        <f t="shared" si="36"/>
        <v>0</v>
      </c>
      <c r="AC51" s="79">
        <f t="shared" si="37"/>
        <v>1.5318491945963813E-31</v>
      </c>
      <c r="AD51" s="49" cm="1">
        <f t="array" ref="AD51">IF($M51&lt;clplus3,((gamma)^$M51)/(FACT($M51)),0)</f>
        <v>0</v>
      </c>
      <c r="AE51" s="49" cm="1">
        <f t="array" ref="AE51">IF($M51&lt;clplus3,(((clplus3-1)/clplus3)*AC51),0)</f>
        <v>0</v>
      </c>
      <c r="AG51" s="79">
        <f t="shared" si="38"/>
        <v>1.5009567585135497E-34</v>
      </c>
      <c r="AH51" s="49">
        <f t="shared" si="39"/>
        <v>0</v>
      </c>
      <c r="AI51" s="49">
        <f t="shared" si="40"/>
        <v>0</v>
      </c>
      <c r="AK51" s="79">
        <f t="shared" si="41"/>
        <v>5.0042729099201162E-37</v>
      </c>
      <c r="AL51" s="49">
        <f t="shared" si="42"/>
        <v>0</v>
      </c>
      <c r="AM51" s="49">
        <f t="shared" si="43"/>
        <v>0</v>
      </c>
      <c r="AO51" s="79">
        <f t="shared" si="44"/>
        <v>4.0891333159646553E-39</v>
      </c>
      <c r="AP51" s="49">
        <f t="shared" si="45"/>
        <v>0</v>
      </c>
      <c r="AQ51" s="49">
        <f t="shared" si="46"/>
        <v>0</v>
      </c>
    </row>
    <row r="52" spans="4:43" s="49" customFormat="1" ht="10.5" customHeight="1" x14ac:dyDescent="0.2">
      <c r="D52" s="82"/>
      <c r="J52" s="50"/>
      <c r="K52" s="51"/>
      <c r="M52" s="75">
        <v>44</v>
      </c>
      <c r="N52" s="192">
        <f t="shared" si="28"/>
        <v>6.4337370517066351E-16</v>
      </c>
      <c r="O52" s="192">
        <f t="shared" si="19"/>
        <v>0.99999999999999933</v>
      </c>
      <c r="Q52" s="79">
        <f t="shared" si="29"/>
        <v>6.4337370517066351E-16</v>
      </c>
      <c r="R52" s="49">
        <f t="shared" si="30"/>
        <v>0</v>
      </c>
      <c r="S52" s="49">
        <f t="shared" si="47"/>
        <v>0</v>
      </c>
      <c r="U52" s="51">
        <f t="shared" si="31"/>
        <v>2.7562332674703889E-23</v>
      </c>
      <c r="V52" s="49">
        <f t="shared" si="32"/>
        <v>0</v>
      </c>
      <c r="W52" s="51">
        <f t="shared" si="33"/>
        <v>0</v>
      </c>
      <c r="Y52" s="79">
        <f t="shared" si="34"/>
        <v>2.0936111423284399E-28</v>
      </c>
      <c r="Z52" s="49">
        <f t="shared" si="35"/>
        <v>0</v>
      </c>
      <c r="AA52" s="49">
        <f t="shared" si="36"/>
        <v>0</v>
      </c>
      <c r="AC52" s="79">
        <f t="shared" si="37"/>
        <v>2.7851803538116027E-32</v>
      </c>
      <c r="AD52" s="49" cm="1">
        <f t="array" ref="AD52">IF($M52&lt;clplus3,((gamma)^$M52)/(FACT($M52)),0)</f>
        <v>0</v>
      </c>
      <c r="AE52" s="49" cm="1">
        <f t="array" ref="AE52">IF($M52&lt;clplus3,(((clplus3-1)/clplus3)*AC52),0)</f>
        <v>0</v>
      </c>
      <c r="AG52" s="79">
        <f t="shared" si="38"/>
        <v>2.2741769068387117E-35</v>
      </c>
      <c r="AH52" s="49">
        <f t="shared" si="39"/>
        <v>0</v>
      </c>
      <c r="AI52" s="49">
        <f t="shared" si="40"/>
        <v>0</v>
      </c>
      <c r="AK52" s="79">
        <f t="shared" si="41"/>
        <v>6.4990557271689814E-38</v>
      </c>
      <c r="AL52" s="49">
        <f t="shared" si="42"/>
        <v>0</v>
      </c>
      <c r="AM52" s="49">
        <f t="shared" si="43"/>
        <v>0</v>
      </c>
      <c r="AO52" s="79">
        <f t="shared" si="44"/>
        <v>4.6467424045052898E-40</v>
      </c>
      <c r="AP52" s="49">
        <f t="shared" si="45"/>
        <v>0</v>
      </c>
      <c r="AQ52" s="49">
        <f t="shared" si="46"/>
        <v>0</v>
      </c>
    </row>
    <row r="53" spans="4:43" s="49" customFormat="1" ht="10.5" customHeight="1" x14ac:dyDescent="0.2">
      <c r="D53" s="82"/>
      <c r="J53" s="50"/>
      <c r="K53" s="51"/>
      <c r="M53" s="75">
        <v>45</v>
      </c>
      <c r="N53" s="192">
        <f t="shared" si="28"/>
        <v>2.9244259325939251E-16</v>
      </c>
      <c r="O53" s="192">
        <f t="shared" si="19"/>
        <v>0.99999999999999967</v>
      </c>
      <c r="Q53" s="79">
        <f t="shared" si="29"/>
        <v>2.9244259325939251E-16</v>
      </c>
      <c r="R53" s="49">
        <f t="shared" si="30"/>
        <v>0</v>
      </c>
      <c r="S53" s="49">
        <f t="shared" si="47"/>
        <v>0</v>
      </c>
      <c r="U53" s="51">
        <f t="shared" si="31"/>
        <v>8.3522220226375424E-24</v>
      </c>
      <c r="V53" s="49">
        <f t="shared" si="32"/>
        <v>0</v>
      </c>
      <c r="W53" s="51">
        <f t="shared" si="33"/>
        <v>0</v>
      </c>
      <c r="Y53" s="79">
        <f t="shared" si="34"/>
        <v>4.7582071416555454E-29</v>
      </c>
      <c r="Z53" s="49">
        <f t="shared" si="35"/>
        <v>0</v>
      </c>
      <c r="AA53" s="49">
        <f t="shared" si="36"/>
        <v>0</v>
      </c>
      <c r="AC53" s="79">
        <f t="shared" si="37"/>
        <v>5.0639642796574592E-33</v>
      </c>
      <c r="AD53" s="49" cm="1">
        <f t="array" ref="AD53">IF($M53&lt;clplus3,((gamma)^$M53)/(FACT($M53)),0)</f>
        <v>0</v>
      </c>
      <c r="AE53" s="49" cm="1">
        <f t="array" ref="AE53">IF($M53&lt;clplus3,(((clplus3-1)/clplus3)*AC53),0)</f>
        <v>0</v>
      </c>
      <c r="AG53" s="79">
        <f t="shared" si="38"/>
        <v>3.4457225861192603E-36</v>
      </c>
      <c r="AH53" s="49">
        <f t="shared" si="39"/>
        <v>0</v>
      </c>
      <c r="AI53" s="49">
        <f t="shared" si="40"/>
        <v>0</v>
      </c>
      <c r="AK53" s="79">
        <f t="shared" si="41"/>
        <v>8.4403321132064688E-39</v>
      </c>
      <c r="AL53" s="49">
        <f t="shared" si="42"/>
        <v>0</v>
      </c>
      <c r="AM53" s="49">
        <f t="shared" si="43"/>
        <v>0</v>
      </c>
      <c r="AO53" s="79">
        <f t="shared" si="44"/>
        <v>5.2803890960287382E-41</v>
      </c>
      <c r="AP53" s="49">
        <f t="shared" si="45"/>
        <v>0</v>
      </c>
      <c r="AQ53" s="49">
        <f t="shared" si="46"/>
        <v>0</v>
      </c>
    </row>
    <row r="54" spans="4:43" s="49" customFormat="1" ht="10.5" customHeight="1" x14ac:dyDescent="0.2">
      <c r="D54" s="82"/>
      <c r="J54" s="50"/>
      <c r="K54" s="51"/>
      <c r="M54" s="75">
        <v>46</v>
      </c>
      <c r="N54" s="192">
        <f t="shared" si="28"/>
        <v>1.3292845148154205E-16</v>
      </c>
      <c r="O54" s="192">
        <f t="shared" si="19"/>
        <v>0.99999999999999978</v>
      </c>
      <c r="Q54" s="79">
        <f t="shared" si="29"/>
        <v>1.3292845148154205E-16</v>
      </c>
      <c r="R54" s="49">
        <f t="shared" si="30"/>
        <v>0</v>
      </c>
      <c r="S54" s="49">
        <f t="shared" si="47"/>
        <v>0</v>
      </c>
      <c r="U54" s="51">
        <f t="shared" si="31"/>
        <v>2.5309763704962249E-24</v>
      </c>
      <c r="V54" s="49">
        <f t="shared" si="32"/>
        <v>0</v>
      </c>
      <c r="W54" s="51">
        <f t="shared" si="33"/>
        <v>0</v>
      </c>
      <c r="Y54" s="79">
        <f t="shared" si="34"/>
        <v>1.081410714012624E-29</v>
      </c>
      <c r="Z54" s="49">
        <f t="shared" si="35"/>
        <v>0</v>
      </c>
      <c r="AA54" s="49">
        <f t="shared" si="36"/>
        <v>0</v>
      </c>
      <c r="AC54" s="79">
        <f t="shared" si="37"/>
        <v>9.2072077811953799E-34</v>
      </c>
      <c r="AD54" s="49" cm="1">
        <f t="array" ref="AD54">IF($M54&lt;clplus3,((gamma)^$M54)/(FACT($M54)),0)</f>
        <v>0</v>
      </c>
      <c r="AE54" s="49" cm="1">
        <f t="array" ref="AE54">IF($M54&lt;clplus3,(((clplus3-1)/clplus3)*AC54),0)</f>
        <v>0</v>
      </c>
      <c r="AG54" s="79">
        <f t="shared" si="38"/>
        <v>5.2207917971503947E-37</v>
      </c>
      <c r="AH54" s="49">
        <f t="shared" si="39"/>
        <v>0</v>
      </c>
      <c r="AI54" s="49">
        <f t="shared" si="40"/>
        <v>0</v>
      </c>
      <c r="AK54" s="79">
        <f t="shared" si="41"/>
        <v>1.0961470276891517E-39</v>
      </c>
      <c r="AL54" s="49">
        <f t="shared" si="42"/>
        <v>0</v>
      </c>
      <c r="AM54" s="49">
        <f t="shared" si="43"/>
        <v>0</v>
      </c>
      <c r="AO54" s="79">
        <f t="shared" si="44"/>
        <v>6.0004421545781113E-42</v>
      </c>
      <c r="AP54" s="49">
        <f t="shared" si="45"/>
        <v>0</v>
      </c>
      <c r="AQ54" s="49">
        <f t="shared" si="46"/>
        <v>0</v>
      </c>
    </row>
    <row r="55" spans="4:43" s="49" customFormat="1" ht="10.5" customHeight="1" x14ac:dyDescent="0.2">
      <c r="D55" s="82"/>
      <c r="J55" s="50"/>
      <c r="K55" s="51"/>
      <c r="M55" s="75">
        <v>47</v>
      </c>
      <c r="N55" s="192">
        <f t="shared" si="28"/>
        <v>6.042202340070093E-17</v>
      </c>
      <c r="O55" s="192">
        <f t="shared" si="19"/>
        <v>0.99999999999999989</v>
      </c>
      <c r="Q55" s="79">
        <f t="shared" si="29"/>
        <v>6.042202340070093E-17</v>
      </c>
      <c r="R55" s="49">
        <f t="shared" si="30"/>
        <v>0</v>
      </c>
      <c r="S55" s="49">
        <f t="shared" si="47"/>
        <v>0</v>
      </c>
      <c r="U55" s="51">
        <f t="shared" si="31"/>
        <v>7.6696253651400757E-25</v>
      </c>
      <c r="V55" s="49">
        <f t="shared" si="32"/>
        <v>0</v>
      </c>
      <c r="W55" s="51">
        <f t="shared" si="33"/>
        <v>0</v>
      </c>
      <c r="Y55" s="79">
        <f t="shared" si="34"/>
        <v>2.4577516227559634E-30</v>
      </c>
      <c r="Z55" s="49">
        <f t="shared" si="35"/>
        <v>0</v>
      </c>
      <c r="AA55" s="49">
        <f t="shared" si="36"/>
        <v>0</v>
      </c>
      <c r="AC55" s="79">
        <f t="shared" si="37"/>
        <v>1.6740377783991601E-34</v>
      </c>
      <c r="AD55" s="49" cm="1">
        <f t="array" ref="AD55">IF($M55&lt;clplus3,((gamma)^$M55)/(FACT($M55)),0)</f>
        <v>0</v>
      </c>
      <c r="AE55" s="49" cm="1">
        <f t="array" ref="AE55">IF($M55&lt;clplus3,(((clplus3-1)/clplus3)*AC55),0)</f>
        <v>0</v>
      </c>
      <c r="AG55" s="79">
        <f t="shared" si="38"/>
        <v>7.9102906017430228E-38</v>
      </c>
      <c r="AH55" s="49">
        <f t="shared" si="39"/>
        <v>0</v>
      </c>
      <c r="AI55" s="49">
        <f t="shared" si="40"/>
        <v>0</v>
      </c>
      <c r="AK55" s="79">
        <f t="shared" si="41"/>
        <v>1.4235675684274697E-40</v>
      </c>
      <c r="AL55" s="49">
        <f t="shared" si="42"/>
        <v>0</v>
      </c>
      <c r="AM55" s="49">
        <f t="shared" si="43"/>
        <v>0</v>
      </c>
      <c r="AO55" s="79">
        <f t="shared" si="44"/>
        <v>6.818684266566035E-43</v>
      </c>
      <c r="AP55" s="49">
        <f t="shared" si="45"/>
        <v>0</v>
      </c>
      <c r="AQ55" s="49">
        <f t="shared" si="46"/>
        <v>0</v>
      </c>
    </row>
    <row r="56" spans="4:43" s="49" customFormat="1" ht="10.5" customHeight="1" x14ac:dyDescent="0.2">
      <c r="D56" s="82"/>
      <c r="J56" s="50"/>
      <c r="K56" s="51"/>
      <c r="M56" s="75">
        <v>48</v>
      </c>
      <c r="N56" s="192">
        <f t="shared" si="28"/>
        <v>2.7464556091227694E-17</v>
      </c>
      <c r="O56" s="192">
        <f t="shared" si="19"/>
        <v>0.99999999999999989</v>
      </c>
      <c r="Q56" s="79">
        <f t="shared" si="29"/>
        <v>2.7464556091227694E-17</v>
      </c>
      <c r="R56" s="49">
        <f t="shared" si="30"/>
        <v>0</v>
      </c>
      <c r="S56" s="49">
        <f t="shared" si="47"/>
        <v>0</v>
      </c>
      <c r="U56" s="51">
        <f t="shared" si="31"/>
        <v>2.3241288985272959E-25</v>
      </c>
      <c r="V56" s="49">
        <f t="shared" si="32"/>
        <v>0</v>
      </c>
      <c r="W56" s="51">
        <f t="shared" si="33"/>
        <v>0</v>
      </c>
      <c r="Y56" s="79">
        <f t="shared" si="34"/>
        <v>5.5857991426271894E-31</v>
      </c>
      <c r="Z56" s="49">
        <f t="shared" si="35"/>
        <v>0</v>
      </c>
      <c r="AA56" s="49">
        <f t="shared" si="36"/>
        <v>0</v>
      </c>
      <c r="AC56" s="79">
        <f t="shared" si="37"/>
        <v>3.0437050516348365E-35</v>
      </c>
      <c r="AD56" s="49" cm="1">
        <f t="array" ref="AD56">IF($M56&lt;clplus3,((gamma)^$M56)/(FACT($M56)),0)</f>
        <v>0</v>
      </c>
      <c r="AE56" s="49" cm="1">
        <f t="array" ref="AE56">IF($M56&lt;clplus3,(((clplus3-1)/clplus3)*AC56),0)</f>
        <v>0</v>
      </c>
      <c r="AG56" s="79">
        <f t="shared" si="38"/>
        <v>1.1985288790519732E-38</v>
      </c>
      <c r="AH56" s="49">
        <f t="shared" si="39"/>
        <v>0</v>
      </c>
      <c r="AI56" s="49">
        <f t="shared" si="40"/>
        <v>0</v>
      </c>
      <c r="AK56" s="79">
        <f t="shared" si="41"/>
        <v>1.8487890499058047E-41</v>
      </c>
      <c r="AL56" s="49">
        <f t="shared" si="42"/>
        <v>0</v>
      </c>
      <c r="AM56" s="49">
        <f t="shared" si="43"/>
        <v>0</v>
      </c>
      <c r="AO56" s="79">
        <f t="shared" si="44"/>
        <v>7.748504848370494E-44</v>
      </c>
      <c r="AP56" s="49">
        <f t="shared" si="45"/>
        <v>0</v>
      </c>
      <c r="AQ56" s="49">
        <f t="shared" si="46"/>
        <v>0</v>
      </c>
    </row>
    <row r="57" spans="4:43" s="49" customFormat="1" ht="10.5" customHeight="1" x14ac:dyDescent="0.2">
      <c r="D57" s="82"/>
      <c r="J57" s="50"/>
      <c r="K57" s="51"/>
      <c r="M57" s="75">
        <v>49</v>
      </c>
      <c r="N57" s="192">
        <f t="shared" si="28"/>
        <v>1.2483889132376224E-17</v>
      </c>
      <c r="O57" s="192">
        <f t="shared" si="19"/>
        <v>0.99999999999999989</v>
      </c>
      <c r="Q57" s="79">
        <f t="shared" si="29"/>
        <v>1.2483889132376224E-17</v>
      </c>
      <c r="R57" s="49">
        <f t="shared" si="30"/>
        <v>0</v>
      </c>
      <c r="S57" s="49">
        <f t="shared" si="47"/>
        <v>0</v>
      </c>
      <c r="U57" s="51">
        <f t="shared" si="31"/>
        <v>7.042814844022109E-26</v>
      </c>
      <c r="V57" s="49">
        <f t="shared" si="32"/>
        <v>0</v>
      </c>
      <c r="W57" s="51">
        <f t="shared" si="33"/>
        <v>0</v>
      </c>
      <c r="Y57" s="79">
        <f t="shared" si="34"/>
        <v>1.2694998051425431E-31</v>
      </c>
      <c r="Z57" s="49">
        <f t="shared" si="35"/>
        <v>0</v>
      </c>
      <c r="AA57" s="49">
        <f t="shared" si="36"/>
        <v>0</v>
      </c>
      <c r="AC57" s="79">
        <f t="shared" si="37"/>
        <v>5.5340091847906118E-36</v>
      </c>
      <c r="AD57" s="49" cm="1">
        <f t="array" ref="AD57">IF($M57&lt;clplus3,((gamma)^$M57)/(FACT($M57)),0)</f>
        <v>0</v>
      </c>
      <c r="AE57" s="49" cm="1">
        <f t="array" ref="AE57">IF($M57&lt;clplus3,(((clplus3-1)/clplus3)*AC57),0)</f>
        <v>0</v>
      </c>
      <c r="AG57" s="79">
        <f t="shared" si="38"/>
        <v>1.8159528470484444E-39</v>
      </c>
      <c r="AH57" s="49">
        <f t="shared" si="39"/>
        <v>0</v>
      </c>
      <c r="AI57" s="49">
        <f t="shared" si="40"/>
        <v>0</v>
      </c>
      <c r="AK57" s="79">
        <f t="shared" si="41"/>
        <v>2.4010247401374083E-42</v>
      </c>
      <c r="AL57" s="49">
        <f t="shared" si="42"/>
        <v>0</v>
      </c>
      <c r="AM57" s="49">
        <f t="shared" si="43"/>
        <v>0</v>
      </c>
      <c r="AO57" s="79">
        <f t="shared" si="44"/>
        <v>8.8051191458755604E-45</v>
      </c>
      <c r="AP57" s="49">
        <f t="shared" si="45"/>
        <v>0</v>
      </c>
      <c r="AQ57" s="49">
        <f t="shared" si="46"/>
        <v>0</v>
      </c>
    </row>
    <row r="58" spans="4:43" s="49" customFormat="1" ht="10.5" customHeight="1" x14ac:dyDescent="0.2">
      <c r="D58" s="82"/>
      <c r="J58" s="50"/>
      <c r="K58" s="51"/>
      <c r="M58" s="75">
        <v>50</v>
      </c>
      <c r="N58" s="192">
        <f t="shared" si="28"/>
        <v>5.6744950601710106E-18</v>
      </c>
      <c r="O58" s="192">
        <f t="shared" si="19"/>
        <v>0.99999999999999989</v>
      </c>
      <c r="Q58" s="79">
        <f t="shared" si="29"/>
        <v>5.6744950601710106E-18</v>
      </c>
      <c r="R58" s="49">
        <f t="shared" si="30"/>
        <v>0</v>
      </c>
      <c r="S58" s="49">
        <f t="shared" si="47"/>
        <v>0</v>
      </c>
      <c r="U58" s="51">
        <f t="shared" si="31"/>
        <v>2.1341863163703361E-26</v>
      </c>
      <c r="V58" s="49">
        <f t="shared" si="32"/>
        <v>0</v>
      </c>
      <c r="W58" s="51">
        <f t="shared" si="33"/>
        <v>0</v>
      </c>
      <c r="Y58" s="79">
        <f t="shared" si="34"/>
        <v>2.8852268298694163E-32</v>
      </c>
      <c r="Z58" s="49">
        <f t="shared" si="35"/>
        <v>0</v>
      </c>
      <c r="AA58" s="49">
        <f t="shared" si="36"/>
        <v>0</v>
      </c>
      <c r="AC58" s="79">
        <f t="shared" si="37"/>
        <v>1.0061834881437476E-36</v>
      </c>
      <c r="AD58" s="49" cm="1">
        <f t="array" ref="AD58">IF($M58&lt;clplus3,((gamma)^$M58)/(FACT($M58)),0)</f>
        <v>0</v>
      </c>
      <c r="AE58" s="49" cm="1">
        <f t="array" ref="AE58">IF($M58&lt;clplus3,(((clplus3-1)/clplus3)*AC58),0)</f>
        <v>0</v>
      </c>
      <c r="AG58" s="79">
        <f t="shared" si="38"/>
        <v>2.7514437076491581E-40</v>
      </c>
      <c r="AH58" s="49">
        <f t="shared" si="39"/>
        <v>0</v>
      </c>
      <c r="AI58" s="49">
        <f t="shared" si="40"/>
        <v>0</v>
      </c>
      <c r="AK58" s="79">
        <f t="shared" si="41"/>
        <v>3.1182139482304E-43</v>
      </c>
      <c r="AL58" s="49">
        <f t="shared" si="42"/>
        <v>0</v>
      </c>
      <c r="AM58" s="49">
        <f t="shared" si="43"/>
        <v>0</v>
      </c>
      <c r="AO58" s="79">
        <f t="shared" si="44"/>
        <v>1.0005817211222227E-45</v>
      </c>
      <c r="AP58" s="49">
        <f t="shared" si="45"/>
        <v>0</v>
      </c>
      <c r="AQ58" s="49">
        <f t="shared" si="46"/>
        <v>0</v>
      </c>
    </row>
    <row r="59" spans="4:43" s="49" customFormat="1" ht="10.5" customHeight="1" x14ac:dyDescent="0.2">
      <c r="D59" s="82"/>
      <c r="J59" s="50"/>
      <c r="K59" s="51"/>
      <c r="M59" s="75">
        <v>51</v>
      </c>
      <c r="N59" s="192">
        <f t="shared" si="28"/>
        <v>2.5793159364413683E-18</v>
      </c>
      <c r="O59" s="192">
        <f t="shared" si="19"/>
        <v>0.99999999999999989</v>
      </c>
      <c r="Q59" s="79">
        <f t="shared" si="29"/>
        <v>2.5793159364413683E-18</v>
      </c>
      <c r="R59" s="49">
        <f t="shared" si="30"/>
        <v>0</v>
      </c>
      <c r="S59" s="49">
        <f t="shared" si="47"/>
        <v>0</v>
      </c>
      <c r="U59" s="51">
        <f t="shared" si="31"/>
        <v>6.4672312617282913E-27</v>
      </c>
      <c r="V59" s="49">
        <f t="shared" si="32"/>
        <v>0</v>
      </c>
      <c r="W59" s="51">
        <f t="shared" si="33"/>
        <v>0</v>
      </c>
      <c r="Y59" s="79">
        <f t="shared" si="34"/>
        <v>6.5573337042486728E-33</v>
      </c>
      <c r="Z59" s="49">
        <f t="shared" si="35"/>
        <v>0</v>
      </c>
      <c r="AA59" s="49">
        <f t="shared" si="36"/>
        <v>0</v>
      </c>
      <c r="AC59" s="79">
        <f t="shared" si="37"/>
        <v>1.829424523897723E-37</v>
      </c>
      <c r="AD59" s="49" cm="1">
        <f t="array" ref="AD59">IF($M59&lt;clplus3,((gamma)^$M59)/(FACT($M59)),0)</f>
        <v>0</v>
      </c>
      <c r="AE59" s="49" cm="1">
        <f t="array" ref="AE59">IF($M59&lt;clplus3,(((clplus3-1)/clplus3)*AC59),0)</f>
        <v>0</v>
      </c>
      <c r="AG59" s="79">
        <f t="shared" si="38"/>
        <v>4.1688541024987245E-41</v>
      </c>
      <c r="AH59" s="49">
        <f t="shared" si="39"/>
        <v>0</v>
      </c>
      <c r="AI59" s="49">
        <f t="shared" si="40"/>
        <v>0</v>
      </c>
      <c r="AK59" s="79">
        <f t="shared" si="41"/>
        <v>4.0496285041953242E-44</v>
      </c>
      <c r="AL59" s="49">
        <f t="shared" si="42"/>
        <v>0</v>
      </c>
      <c r="AM59" s="49">
        <f t="shared" si="43"/>
        <v>0</v>
      </c>
      <c r="AO59" s="79">
        <f t="shared" si="44"/>
        <v>1.1370246830934349E-46</v>
      </c>
      <c r="AP59" s="49">
        <f t="shared" si="45"/>
        <v>0</v>
      </c>
      <c r="AQ59" s="49">
        <f t="shared" si="46"/>
        <v>0</v>
      </c>
    </row>
    <row r="60" spans="4:43" s="49" customFormat="1" ht="10.5" customHeight="1" x14ac:dyDescent="0.2">
      <c r="D60" s="82"/>
      <c r="J60" s="50"/>
      <c r="K60" s="51"/>
      <c r="M60" s="75">
        <v>52</v>
      </c>
      <c r="N60" s="192">
        <f t="shared" si="28"/>
        <v>1.1724163347460765E-18</v>
      </c>
      <c r="O60" s="192">
        <f t="shared" si="19"/>
        <v>0.99999999999999989</v>
      </c>
      <c r="Q60" s="79">
        <f t="shared" si="29"/>
        <v>1.1724163347460765E-18</v>
      </c>
      <c r="R60" s="49">
        <f t="shared" si="30"/>
        <v>0</v>
      </c>
      <c r="S60" s="49">
        <f t="shared" si="47"/>
        <v>0</v>
      </c>
      <c r="U60" s="51">
        <f t="shared" si="31"/>
        <v>1.9597670490085731E-27</v>
      </c>
      <c r="V60" s="49">
        <f t="shared" si="32"/>
        <v>0</v>
      </c>
      <c r="W60" s="51">
        <f t="shared" si="33"/>
        <v>0</v>
      </c>
      <c r="Y60" s="79">
        <f t="shared" si="34"/>
        <v>1.4903031146019711E-33</v>
      </c>
      <c r="Z60" s="49">
        <f t="shared" si="35"/>
        <v>0</v>
      </c>
      <c r="AA60" s="49">
        <f t="shared" si="36"/>
        <v>0</v>
      </c>
      <c r="AC60" s="79">
        <f t="shared" si="37"/>
        <v>3.3262264070867693E-38</v>
      </c>
      <c r="AD60" s="49" cm="1">
        <f t="array" ref="AD60">IF($M60&lt;clplus3,((gamma)^$M60)/(FACT($M60)),0)</f>
        <v>0</v>
      </c>
      <c r="AE60" s="49" cm="1">
        <f t="array" ref="AE60">IF($M60&lt;clplus3,(((clplus3-1)/clplus3)*AC60),0)</f>
        <v>0</v>
      </c>
      <c r="AG60" s="79">
        <f t="shared" si="38"/>
        <v>6.3164456098465525E-42</v>
      </c>
      <c r="AH60" s="49">
        <f t="shared" si="39"/>
        <v>0</v>
      </c>
      <c r="AI60" s="49">
        <f t="shared" si="40"/>
        <v>0</v>
      </c>
      <c r="AK60" s="79">
        <f t="shared" si="41"/>
        <v>5.2592577976562644E-45</v>
      </c>
      <c r="AL60" s="49">
        <f t="shared" si="42"/>
        <v>0</v>
      </c>
      <c r="AM60" s="49">
        <f t="shared" si="43"/>
        <v>0</v>
      </c>
      <c r="AO60" s="79">
        <f t="shared" si="44"/>
        <v>1.292073503515267E-47</v>
      </c>
      <c r="AP60" s="49">
        <f t="shared" si="45"/>
        <v>0</v>
      </c>
      <c r="AQ60" s="49">
        <f t="shared" si="46"/>
        <v>0</v>
      </c>
    </row>
    <row r="61" spans="4:43" s="49" customFormat="1" ht="10.5" customHeight="1" x14ac:dyDescent="0.2">
      <c r="D61" s="82"/>
      <c r="J61" s="50"/>
      <c r="K61" s="51"/>
      <c r="M61" s="75">
        <v>53</v>
      </c>
      <c r="N61" s="192">
        <f t="shared" si="28"/>
        <v>5.3291651579367114E-19</v>
      </c>
      <c r="O61" s="192">
        <f t="shared" si="19"/>
        <v>0.99999999999999989</v>
      </c>
      <c r="Q61" s="79">
        <f t="shared" si="29"/>
        <v>5.3291651579367114E-19</v>
      </c>
      <c r="R61" s="49">
        <f t="shared" si="30"/>
        <v>0</v>
      </c>
      <c r="S61" s="49">
        <f t="shared" si="47"/>
        <v>0</v>
      </c>
      <c r="U61" s="51">
        <f t="shared" si="31"/>
        <v>5.9386880272987062E-28</v>
      </c>
      <c r="V61" s="49">
        <f t="shared" si="32"/>
        <v>0</v>
      </c>
      <c r="W61" s="51">
        <f t="shared" si="33"/>
        <v>0</v>
      </c>
      <c r="Y61" s="79">
        <f t="shared" si="34"/>
        <v>3.387052533186298E-34</v>
      </c>
      <c r="Z61" s="49">
        <f t="shared" si="35"/>
        <v>0</v>
      </c>
      <c r="AA61" s="49">
        <f t="shared" si="36"/>
        <v>0</v>
      </c>
      <c r="AC61" s="79">
        <f t="shared" si="37"/>
        <v>6.0476843765213995E-39</v>
      </c>
      <c r="AD61" s="49" cm="1">
        <f t="array" ref="AD61">IF($M61&lt;clplus3,((gamma)^$M61)/(FACT($M61)),0)</f>
        <v>0</v>
      </c>
      <c r="AE61" s="49" cm="1">
        <f t="array" ref="AE61">IF($M61&lt;clplus3,(((clplus3-1)/clplus3)*AC61),0)</f>
        <v>0</v>
      </c>
      <c r="AG61" s="79">
        <f t="shared" si="38"/>
        <v>9.570372136131141E-43</v>
      </c>
      <c r="AH61" s="49">
        <f t="shared" si="39"/>
        <v>0</v>
      </c>
      <c r="AI61" s="49">
        <f t="shared" si="40"/>
        <v>0</v>
      </c>
      <c r="AK61" s="79">
        <f t="shared" si="41"/>
        <v>6.8302049320211219E-46</v>
      </c>
      <c r="AL61" s="49">
        <f t="shared" si="42"/>
        <v>0</v>
      </c>
      <c r="AM61" s="49">
        <f t="shared" si="43"/>
        <v>0</v>
      </c>
      <c r="AO61" s="79">
        <f t="shared" si="44"/>
        <v>1.4682653449037126E-48</v>
      </c>
      <c r="AP61" s="49">
        <f t="shared" si="45"/>
        <v>0</v>
      </c>
      <c r="AQ61" s="49">
        <f t="shared" si="46"/>
        <v>0</v>
      </c>
    </row>
    <row r="62" spans="4:43" s="49" customFormat="1" ht="10.5" customHeight="1" x14ac:dyDescent="0.2">
      <c r="D62" s="82"/>
      <c r="J62" s="50"/>
      <c r="K62" s="51"/>
      <c r="M62" s="75">
        <v>54</v>
      </c>
      <c r="N62" s="192">
        <f t="shared" si="28"/>
        <v>2.4223477990621413E-19</v>
      </c>
      <c r="O62" s="192">
        <f t="shared" si="19"/>
        <v>0.99999999999999989</v>
      </c>
      <c r="Q62" s="79">
        <f t="shared" si="29"/>
        <v>2.4223477990621413E-19</v>
      </c>
      <c r="R62" s="49">
        <f t="shared" si="30"/>
        <v>0</v>
      </c>
      <c r="S62" s="49">
        <f t="shared" si="47"/>
        <v>0</v>
      </c>
      <c r="U62" s="51">
        <f t="shared" si="31"/>
        <v>1.7996024325147596E-28</v>
      </c>
      <c r="V62" s="49">
        <f t="shared" si="32"/>
        <v>0</v>
      </c>
      <c r="W62" s="51">
        <f t="shared" si="33"/>
        <v>0</v>
      </c>
      <c r="Y62" s="79">
        <f t="shared" si="34"/>
        <v>7.6978466663324956E-35</v>
      </c>
      <c r="Z62" s="49">
        <f t="shared" si="35"/>
        <v>0</v>
      </c>
      <c r="AA62" s="49">
        <f t="shared" si="36"/>
        <v>0</v>
      </c>
      <c r="AC62" s="79">
        <f t="shared" si="37"/>
        <v>1.0995789775493455E-39</v>
      </c>
      <c r="AD62" s="49" cm="1">
        <f t="array" ref="AD62">IF($M62&lt;clplus3,((gamma)^$M62)/(FACT($M62)),0)</f>
        <v>0</v>
      </c>
      <c r="AE62" s="49" cm="1">
        <f t="array" ref="AE62">IF($M62&lt;clplus3,(((clplus3-1)/clplus3)*AC62),0)</f>
        <v>0</v>
      </c>
      <c r="AG62" s="79">
        <f t="shared" si="38"/>
        <v>1.4500563842622942E-43</v>
      </c>
      <c r="AH62" s="49">
        <f t="shared" si="39"/>
        <v>0</v>
      </c>
      <c r="AI62" s="49">
        <f t="shared" si="40"/>
        <v>0</v>
      </c>
      <c r="AK62" s="79">
        <f t="shared" si="41"/>
        <v>8.8703960156118466E-47</v>
      </c>
      <c r="AL62" s="49">
        <f t="shared" si="42"/>
        <v>0</v>
      </c>
      <c r="AM62" s="49">
        <f t="shared" si="43"/>
        <v>0</v>
      </c>
      <c r="AO62" s="79">
        <f t="shared" si="44"/>
        <v>1.6684833464814916E-49</v>
      </c>
      <c r="AP62" s="49">
        <f t="shared" si="45"/>
        <v>0</v>
      </c>
      <c r="AQ62" s="49">
        <f t="shared" si="46"/>
        <v>0</v>
      </c>
    </row>
    <row r="63" spans="4:43" s="49" customFormat="1" ht="10.5" customHeight="1" x14ac:dyDescent="0.2">
      <c r="D63" s="82"/>
      <c r="J63" s="50"/>
      <c r="K63" s="51"/>
      <c r="M63" s="75">
        <v>55</v>
      </c>
      <c r="N63" s="192">
        <f t="shared" si="28"/>
        <v>1.1010671813918823E-19</v>
      </c>
      <c r="O63" s="192">
        <f t="shared" si="19"/>
        <v>0.99999999999999989</v>
      </c>
      <c r="Q63" s="79">
        <f t="shared" si="29"/>
        <v>1.1010671813918823E-19</v>
      </c>
      <c r="R63" s="49">
        <f t="shared" si="30"/>
        <v>0</v>
      </c>
      <c r="S63" s="49">
        <f t="shared" si="47"/>
        <v>0</v>
      </c>
      <c r="U63" s="51">
        <f t="shared" si="31"/>
        <v>5.4533407045901806E-29</v>
      </c>
      <c r="V63" s="49">
        <f t="shared" si="32"/>
        <v>0</v>
      </c>
      <c r="W63" s="51">
        <f t="shared" si="33"/>
        <v>0</v>
      </c>
      <c r="Y63" s="79">
        <f t="shared" si="34"/>
        <v>1.749510605984658E-35</v>
      </c>
      <c r="Z63" s="49">
        <f t="shared" si="35"/>
        <v>0</v>
      </c>
      <c r="AA63" s="49">
        <f t="shared" si="36"/>
        <v>0</v>
      </c>
      <c r="AC63" s="79">
        <f t="shared" si="37"/>
        <v>1.9992345046351734E-40</v>
      </c>
      <c r="AD63" s="49" cm="1">
        <f t="array" ref="AD63">IF($M63&lt;clplus3,((gamma)^$M63)/(FACT($M63)),0)</f>
        <v>0</v>
      </c>
      <c r="AE63" s="49" cm="1">
        <f t="array" ref="AE63">IF($M63&lt;clplus3,(((clplus3-1)/clplus3)*AC63),0)</f>
        <v>0</v>
      </c>
      <c r="AG63" s="79">
        <f t="shared" si="38"/>
        <v>2.1970551276701429E-44</v>
      </c>
      <c r="AH63" s="49">
        <f t="shared" si="39"/>
        <v>0</v>
      </c>
      <c r="AI63" s="49">
        <f t="shared" si="40"/>
        <v>0</v>
      </c>
      <c r="AK63" s="79">
        <f t="shared" si="41"/>
        <v>1.1519994825469929E-47</v>
      </c>
      <c r="AL63" s="49">
        <f t="shared" si="42"/>
        <v>0</v>
      </c>
      <c r="AM63" s="49">
        <f t="shared" si="43"/>
        <v>0</v>
      </c>
      <c r="AO63" s="79">
        <f t="shared" si="44"/>
        <v>1.8960038028198768E-50</v>
      </c>
      <c r="AP63" s="49">
        <f t="shared" si="45"/>
        <v>0</v>
      </c>
      <c r="AQ63" s="49">
        <f t="shared" si="46"/>
        <v>0</v>
      </c>
    </row>
    <row r="64" spans="4:43" s="49" customFormat="1" ht="10.5" customHeight="1" x14ac:dyDescent="0.2">
      <c r="D64" s="82"/>
      <c r="J64" s="50"/>
      <c r="K64" s="51"/>
      <c r="M64" s="75">
        <v>56</v>
      </c>
      <c r="N64" s="192">
        <f t="shared" si="28"/>
        <v>5.0048508245085557E-20</v>
      </c>
      <c r="O64" s="192">
        <f t="shared" si="19"/>
        <v>0.99999999999999989</v>
      </c>
      <c r="Q64" s="79">
        <f t="shared" si="29"/>
        <v>5.0048508245085557E-20</v>
      </c>
      <c r="R64" s="49">
        <f t="shared" si="30"/>
        <v>0</v>
      </c>
      <c r="S64" s="49">
        <f t="shared" si="47"/>
        <v>0</v>
      </c>
      <c r="U64" s="51">
        <f t="shared" si="31"/>
        <v>1.6525274862394488E-29</v>
      </c>
      <c r="V64" s="49">
        <f t="shared" si="32"/>
        <v>0</v>
      </c>
      <c r="W64" s="51">
        <f t="shared" si="33"/>
        <v>0</v>
      </c>
      <c r="Y64" s="79">
        <f t="shared" si="34"/>
        <v>3.9761604681469499E-36</v>
      </c>
      <c r="Z64" s="49">
        <f t="shared" si="35"/>
        <v>0</v>
      </c>
      <c r="AA64" s="49">
        <f t="shared" si="36"/>
        <v>0</v>
      </c>
      <c r="AC64" s="79">
        <f t="shared" si="37"/>
        <v>3.6349718266094062E-41</v>
      </c>
      <c r="AD64" s="49" cm="1">
        <f t="array" ref="AD64">IF($M64&lt;clplus3,((gamma)^$M64)/(FACT($M64)),0)</f>
        <v>0</v>
      </c>
      <c r="AE64" s="49" cm="1">
        <f t="array" ref="AE64">IF($M64&lt;clplus3,(((clplus3-1)/clplus3)*AC64),0)</f>
        <v>0</v>
      </c>
      <c r="AG64" s="79">
        <f t="shared" si="38"/>
        <v>3.3288714055608224E-45</v>
      </c>
      <c r="AH64" s="49">
        <f t="shared" si="39"/>
        <v>0</v>
      </c>
      <c r="AI64" s="49">
        <f t="shared" si="40"/>
        <v>0</v>
      </c>
      <c r="AK64" s="79">
        <f t="shared" si="41"/>
        <v>1.4961032240870036E-48</v>
      </c>
      <c r="AL64" s="49">
        <f t="shared" si="42"/>
        <v>0</v>
      </c>
      <c r="AM64" s="49">
        <f t="shared" si="43"/>
        <v>0</v>
      </c>
      <c r="AO64" s="79">
        <f t="shared" si="44"/>
        <v>2.154549775931678E-51</v>
      </c>
      <c r="AP64" s="49">
        <f t="shared" si="45"/>
        <v>0</v>
      </c>
      <c r="AQ64" s="49">
        <f t="shared" si="46"/>
        <v>0</v>
      </c>
    </row>
    <row r="65" spans="4:43" s="49" customFormat="1" ht="10.5" customHeight="1" x14ac:dyDescent="0.2">
      <c r="D65" s="82"/>
      <c r="J65" s="50"/>
      <c r="K65" s="51"/>
      <c r="M65" s="75">
        <v>57</v>
      </c>
      <c r="N65" s="192">
        <f t="shared" si="28"/>
        <v>2.2749321929584344E-20</v>
      </c>
      <c r="O65" s="192">
        <f t="shared" si="19"/>
        <v>0.99999999999999989</v>
      </c>
      <c r="Q65" s="79">
        <f t="shared" si="29"/>
        <v>2.2749321929584344E-20</v>
      </c>
      <c r="R65" s="49">
        <f t="shared" si="30"/>
        <v>0</v>
      </c>
      <c r="S65" s="49">
        <f t="shared" si="47"/>
        <v>0</v>
      </c>
      <c r="U65" s="51">
        <f t="shared" si="31"/>
        <v>5.007659049210451E-30</v>
      </c>
      <c r="V65" s="49">
        <f t="shared" si="32"/>
        <v>0</v>
      </c>
      <c r="W65" s="51">
        <f t="shared" si="33"/>
        <v>0</v>
      </c>
      <c r="Y65" s="79">
        <f t="shared" si="34"/>
        <v>9.0367283366976124E-37</v>
      </c>
      <c r="Z65" s="49">
        <f t="shared" si="35"/>
        <v>0</v>
      </c>
      <c r="AA65" s="49">
        <f t="shared" si="36"/>
        <v>0</v>
      </c>
      <c r="AC65" s="79">
        <f t="shared" si="37"/>
        <v>6.6090396847443753E-42</v>
      </c>
      <c r="AD65" s="49" cm="1">
        <f t="array" ref="AD65">IF($M65&lt;clplus3,((gamma)^$M65)/(FACT($M65)),0)</f>
        <v>0</v>
      </c>
      <c r="AE65" s="49" cm="1">
        <f t="array" ref="AE65">IF($M65&lt;clplus3,(((clplus3-1)/clplus3)*AC65),0)</f>
        <v>0</v>
      </c>
      <c r="AG65" s="79">
        <f t="shared" si="38"/>
        <v>5.0437445538800339E-46</v>
      </c>
      <c r="AH65" s="49">
        <f t="shared" si="39"/>
        <v>0</v>
      </c>
      <c r="AI65" s="49">
        <f t="shared" si="40"/>
        <v>0</v>
      </c>
      <c r="AK65" s="79">
        <f t="shared" si="41"/>
        <v>1.9429912001129915E-49</v>
      </c>
      <c r="AL65" s="49">
        <f t="shared" si="42"/>
        <v>0</v>
      </c>
      <c r="AM65" s="49">
        <f t="shared" si="43"/>
        <v>0</v>
      </c>
      <c r="AO65" s="79">
        <f t="shared" si="44"/>
        <v>2.4483520181041796E-52</v>
      </c>
      <c r="AP65" s="49">
        <f t="shared" si="45"/>
        <v>0</v>
      </c>
      <c r="AQ65" s="49">
        <f t="shared" si="46"/>
        <v>0</v>
      </c>
    </row>
    <row r="66" spans="4:43" s="49" customFormat="1" ht="10.5" customHeight="1" x14ac:dyDescent="0.2">
      <c r="D66" s="82"/>
      <c r="J66" s="50"/>
      <c r="K66" s="51"/>
      <c r="M66" s="75">
        <v>58</v>
      </c>
      <c r="N66" s="192">
        <f t="shared" si="28"/>
        <v>1.0340600877083792E-20</v>
      </c>
      <c r="O66" s="192">
        <f t="shared" si="19"/>
        <v>0.99999999999999989</v>
      </c>
      <c r="Q66" s="79">
        <f t="shared" si="29"/>
        <v>1.0340600877083792E-20</v>
      </c>
      <c r="R66" s="49">
        <f t="shared" si="30"/>
        <v>0</v>
      </c>
      <c r="S66" s="49">
        <f t="shared" si="47"/>
        <v>0</v>
      </c>
      <c r="U66" s="51">
        <f t="shared" si="31"/>
        <v>1.5174724391546822E-30</v>
      </c>
      <c r="V66" s="49">
        <f t="shared" si="32"/>
        <v>0</v>
      </c>
      <c r="W66" s="51">
        <f t="shared" si="33"/>
        <v>0</v>
      </c>
      <c r="Y66" s="79">
        <f t="shared" si="34"/>
        <v>2.0538018947040026E-37</v>
      </c>
      <c r="Z66" s="49">
        <f t="shared" si="35"/>
        <v>0</v>
      </c>
      <c r="AA66" s="49">
        <f t="shared" si="36"/>
        <v>0</v>
      </c>
      <c r="AC66" s="79">
        <f t="shared" si="37"/>
        <v>1.201643579044432E-42</v>
      </c>
      <c r="AD66" s="49" cm="1">
        <f t="array" ref="AD66">IF($M66&lt;clplus3,((gamma)^$M66)/(FACT($M66)),0)</f>
        <v>0</v>
      </c>
      <c r="AE66" s="49" cm="1">
        <f t="array" ref="AE66">IF($M66&lt;clplus3,(((clplus3-1)/clplus3)*AC66),0)</f>
        <v>0</v>
      </c>
      <c r="AG66" s="79">
        <f t="shared" si="38"/>
        <v>7.6420372028485366E-47</v>
      </c>
      <c r="AH66" s="49">
        <f t="shared" si="39"/>
        <v>0</v>
      </c>
      <c r="AI66" s="49">
        <f t="shared" si="40"/>
        <v>0</v>
      </c>
      <c r="AK66" s="79">
        <f t="shared" si="41"/>
        <v>2.5233651949519369E-50</v>
      </c>
      <c r="AL66" s="49">
        <f t="shared" si="42"/>
        <v>0</v>
      </c>
      <c r="AM66" s="49">
        <f t="shared" si="43"/>
        <v>0</v>
      </c>
      <c r="AO66" s="79">
        <f t="shared" si="44"/>
        <v>2.7822182023911132E-53</v>
      </c>
      <c r="AP66" s="49">
        <f t="shared" si="45"/>
        <v>0</v>
      </c>
      <c r="AQ66" s="49">
        <f t="shared" si="46"/>
        <v>0</v>
      </c>
    </row>
    <row r="67" spans="4:43" s="49" customFormat="1" ht="10.5" customHeight="1" x14ac:dyDescent="0.2">
      <c r="D67" s="82"/>
      <c r="J67" s="50"/>
      <c r="K67" s="51"/>
      <c r="M67" s="75">
        <v>59</v>
      </c>
      <c r="N67" s="192">
        <f t="shared" si="28"/>
        <v>4.7002731259471781E-21</v>
      </c>
      <c r="O67" s="192">
        <f t="shared" si="19"/>
        <v>0.99999999999999989</v>
      </c>
      <c r="Q67" s="79">
        <f t="shared" si="29"/>
        <v>4.7002731259471781E-21</v>
      </c>
      <c r="R67" s="49">
        <f t="shared" si="30"/>
        <v>0</v>
      </c>
      <c r="S67" s="49">
        <f t="shared" si="47"/>
        <v>0</v>
      </c>
      <c r="U67" s="51">
        <f t="shared" si="31"/>
        <v>4.5984013307717645E-31</v>
      </c>
      <c r="V67" s="49">
        <f t="shared" si="32"/>
        <v>0</v>
      </c>
      <c r="W67" s="51">
        <f t="shared" si="33"/>
        <v>0</v>
      </c>
      <c r="Y67" s="79">
        <f t="shared" si="34"/>
        <v>4.6677315788727331E-38</v>
      </c>
      <c r="Z67" s="49">
        <f t="shared" si="35"/>
        <v>0</v>
      </c>
      <c r="AA67" s="49">
        <f t="shared" si="36"/>
        <v>0</v>
      </c>
      <c r="AC67" s="79">
        <f t="shared" si="37"/>
        <v>2.1848065073535127E-43</v>
      </c>
      <c r="AD67" s="49" cm="1">
        <f t="array" ref="AD67">IF($M67&lt;clplus3,((gamma)^$M67)/(FACT($M67)),0)</f>
        <v>0</v>
      </c>
      <c r="AE67" s="49" cm="1">
        <f t="array" ref="AE67">IF($M67&lt;clplus3,(((clplus3-1)/clplus3)*AC67),0)</f>
        <v>0</v>
      </c>
      <c r="AG67" s="79">
        <f t="shared" si="38"/>
        <v>1.1578844246740208E-47</v>
      </c>
      <c r="AH67" s="49">
        <f t="shared" si="39"/>
        <v>0</v>
      </c>
      <c r="AI67" s="49">
        <f t="shared" si="40"/>
        <v>0</v>
      </c>
      <c r="AK67" s="79">
        <f t="shared" si="41"/>
        <v>3.2770976557817358E-51</v>
      </c>
      <c r="AL67" s="49">
        <f t="shared" si="42"/>
        <v>0</v>
      </c>
      <c r="AM67" s="49">
        <f t="shared" si="43"/>
        <v>0</v>
      </c>
      <c r="AO67" s="79">
        <f t="shared" si="44"/>
        <v>3.1616115936262651E-54</v>
      </c>
      <c r="AP67" s="49">
        <f t="shared" si="45"/>
        <v>0</v>
      </c>
      <c r="AQ67" s="49">
        <f t="shared" si="46"/>
        <v>0</v>
      </c>
    </row>
    <row r="68" spans="4:43" s="49" customFormat="1" ht="10.5" customHeight="1" x14ac:dyDescent="0.2">
      <c r="D68" s="82"/>
      <c r="J68" s="50"/>
      <c r="K68" s="51"/>
      <c r="M68" s="75">
        <v>60</v>
      </c>
      <c r="N68" s="192">
        <f t="shared" si="28"/>
        <v>2.1364877845214446E-21</v>
      </c>
      <c r="O68" s="192">
        <f t="shared" si="19"/>
        <v>0.99999999999999989</v>
      </c>
      <c r="Q68" s="79">
        <f t="shared" si="29"/>
        <v>2.1364877845214446E-21</v>
      </c>
      <c r="R68" s="49">
        <f t="shared" si="30"/>
        <v>0</v>
      </c>
      <c r="S68" s="49">
        <f t="shared" si="47"/>
        <v>0</v>
      </c>
      <c r="U68" s="51">
        <f t="shared" si="31"/>
        <v>1.3934549487187164E-31</v>
      </c>
      <c r="V68" s="49">
        <f t="shared" si="32"/>
        <v>0</v>
      </c>
      <c r="W68" s="51">
        <f t="shared" si="33"/>
        <v>0</v>
      </c>
      <c r="Y68" s="79">
        <f t="shared" si="34"/>
        <v>1.0608480861074393E-38</v>
      </c>
      <c r="Z68" s="49">
        <f t="shared" si="35"/>
        <v>0</v>
      </c>
      <c r="AA68" s="49">
        <f t="shared" si="36"/>
        <v>0</v>
      </c>
      <c r="AC68" s="79">
        <f t="shared" si="37"/>
        <v>3.9723754679154775E-44</v>
      </c>
      <c r="AD68" s="49" cm="1">
        <f t="array" ref="AD68">IF($M68&lt;clplus3,((gamma)^$M68)/(FACT($M68)),0)</f>
        <v>0</v>
      </c>
      <c r="AE68" s="49" cm="1">
        <f t="array" ref="AE68">IF($M68&lt;clplus3,(((clplus3-1)/clplus3)*AC68),0)</f>
        <v>0</v>
      </c>
      <c r="AG68" s="79">
        <f t="shared" si="38"/>
        <v>1.7543703404151832E-48</v>
      </c>
      <c r="AH68" s="49">
        <f t="shared" si="39"/>
        <v>0</v>
      </c>
      <c r="AI68" s="49">
        <f t="shared" si="40"/>
        <v>0</v>
      </c>
      <c r="AK68" s="79">
        <f t="shared" si="41"/>
        <v>4.2559709815347218E-52</v>
      </c>
      <c r="AL68" s="49">
        <f t="shared" si="42"/>
        <v>0</v>
      </c>
      <c r="AM68" s="49">
        <f t="shared" si="43"/>
        <v>0</v>
      </c>
      <c r="AO68" s="79">
        <f t="shared" si="44"/>
        <v>3.5927404473025738E-55</v>
      </c>
      <c r="AP68" s="49">
        <f t="shared" si="45"/>
        <v>0</v>
      </c>
      <c r="AQ68" s="49">
        <f t="shared" si="46"/>
        <v>0</v>
      </c>
    </row>
    <row r="69" spans="4:43" s="49" customFormat="1" ht="10.5" customHeight="1" x14ac:dyDescent="0.2">
      <c r="D69" s="82"/>
      <c r="J69" s="50"/>
      <c r="K69" s="51"/>
      <c r="M69" s="75">
        <v>61</v>
      </c>
      <c r="N69" s="192">
        <f t="shared" si="28"/>
        <v>9.7113081114611118E-22</v>
      </c>
      <c r="O69" s="192">
        <f t="shared" si="19"/>
        <v>0.99999999999999989</v>
      </c>
      <c r="Q69" s="79">
        <f t="shared" si="29"/>
        <v>9.7113081114611118E-22</v>
      </c>
      <c r="R69" s="49">
        <f t="shared" si="30"/>
        <v>0</v>
      </c>
      <c r="S69" s="49">
        <f t="shared" si="47"/>
        <v>0</v>
      </c>
      <c r="U69" s="51">
        <f t="shared" si="31"/>
        <v>4.2225907536930801E-32</v>
      </c>
      <c r="V69" s="49">
        <f t="shared" si="32"/>
        <v>0</v>
      </c>
      <c r="W69" s="51">
        <f t="shared" si="33"/>
        <v>0</v>
      </c>
      <c r="Y69" s="79">
        <f t="shared" si="34"/>
        <v>2.4110183775169075E-39</v>
      </c>
      <c r="Z69" s="49">
        <f t="shared" si="35"/>
        <v>0</v>
      </c>
      <c r="AA69" s="49">
        <f t="shared" si="36"/>
        <v>0</v>
      </c>
      <c r="AC69" s="79">
        <f t="shared" si="37"/>
        <v>7.2225008507554138E-45</v>
      </c>
      <c r="AD69" s="49" cm="1">
        <f t="array" ref="AD69">IF($M69&lt;clplus3,((gamma)^$M69)/(FACT($M69)),0)</f>
        <v>0</v>
      </c>
      <c r="AE69" s="49" cm="1">
        <f t="array" ref="AE69">IF($M69&lt;clplus3,(((clplus3-1)/clplus3)*AC69),0)</f>
        <v>0</v>
      </c>
      <c r="AG69" s="79">
        <f t="shared" si="38"/>
        <v>2.6581368794169441E-49</v>
      </c>
      <c r="AH69" s="49">
        <f t="shared" si="39"/>
        <v>0</v>
      </c>
      <c r="AI69" s="49">
        <f t="shared" si="40"/>
        <v>0</v>
      </c>
      <c r="AK69" s="79">
        <f t="shared" si="41"/>
        <v>5.5272350409541837E-53</v>
      </c>
      <c r="AL69" s="49">
        <f t="shared" si="42"/>
        <v>0</v>
      </c>
      <c r="AM69" s="49">
        <f t="shared" si="43"/>
        <v>0</v>
      </c>
      <c r="AO69" s="79">
        <f t="shared" si="44"/>
        <v>4.0826595992074697E-56</v>
      </c>
      <c r="AP69" s="49">
        <f t="shared" si="45"/>
        <v>0</v>
      </c>
      <c r="AQ69" s="49">
        <f t="shared" si="46"/>
        <v>0</v>
      </c>
    </row>
    <row r="70" spans="4:43" s="49" customFormat="1" ht="10.5" customHeight="1" x14ac:dyDescent="0.2">
      <c r="D70" s="82"/>
      <c r="J70" s="50"/>
      <c r="K70" s="51"/>
      <c r="M70" s="75">
        <v>62</v>
      </c>
      <c r="N70" s="192">
        <f t="shared" si="28"/>
        <v>4.4142309597550504E-22</v>
      </c>
      <c r="O70" s="192">
        <f t="shared" si="19"/>
        <v>0.99999999999999989</v>
      </c>
      <c r="Q70" s="79">
        <f t="shared" si="29"/>
        <v>4.4142309597550504E-22</v>
      </c>
      <c r="R70" s="49">
        <f t="shared" si="30"/>
        <v>0</v>
      </c>
      <c r="S70" s="49">
        <f t="shared" si="47"/>
        <v>0</v>
      </c>
      <c r="U70" s="51">
        <f t="shared" si="31"/>
        <v>1.2795729556645698E-32</v>
      </c>
      <c r="V70" s="49">
        <f t="shared" si="32"/>
        <v>0</v>
      </c>
      <c r="W70" s="51">
        <f t="shared" si="33"/>
        <v>0</v>
      </c>
      <c r="Y70" s="79">
        <f t="shared" si="34"/>
        <v>5.4795872216293352E-40</v>
      </c>
      <c r="Z70" s="49">
        <f t="shared" si="35"/>
        <v>0</v>
      </c>
      <c r="AA70" s="49">
        <f t="shared" si="36"/>
        <v>0</v>
      </c>
      <c r="AC70" s="79">
        <f t="shared" si="37"/>
        <v>1.3131819728646207E-45</v>
      </c>
      <c r="AD70" s="49" cm="1">
        <f t="array" ref="AD70">IF($M70&lt;clplus3,((gamma)^$M70)/(FACT($M70)),0)</f>
        <v>0</v>
      </c>
      <c r="AE70" s="49" cm="1">
        <f t="array" ref="AE70">IF($M70&lt;clplus3,(((clplus3-1)/clplus3)*AC70),0)</f>
        <v>0</v>
      </c>
      <c r="AG70" s="79">
        <f t="shared" si="38"/>
        <v>4.0274801203287033E-50</v>
      </c>
      <c r="AH70" s="49">
        <f t="shared" si="39"/>
        <v>0</v>
      </c>
      <c r="AI70" s="49">
        <f t="shared" si="40"/>
        <v>0</v>
      </c>
      <c r="AK70" s="79">
        <f t="shared" si="41"/>
        <v>7.1782273259145235E-54</v>
      </c>
      <c r="AL70" s="49">
        <f t="shared" si="42"/>
        <v>0</v>
      </c>
      <c r="AM70" s="49">
        <f t="shared" si="43"/>
        <v>0</v>
      </c>
      <c r="AO70" s="79">
        <f t="shared" si="44"/>
        <v>4.6393859081903066E-57</v>
      </c>
      <c r="AP70" s="49">
        <f t="shared" si="45"/>
        <v>0</v>
      </c>
      <c r="AQ70" s="49">
        <f t="shared" si="46"/>
        <v>0</v>
      </c>
    </row>
    <row r="71" spans="4:43" s="49" customFormat="1" ht="10.5" customHeight="1" x14ac:dyDescent="0.2">
      <c r="D71" s="82"/>
      <c r="J71" s="50"/>
      <c r="K71" s="51"/>
      <c r="M71" s="75">
        <v>63</v>
      </c>
      <c r="N71" s="192">
        <f t="shared" si="28"/>
        <v>2.0064686180704775E-22</v>
      </c>
      <c r="O71" s="192">
        <f t="shared" si="19"/>
        <v>0.99999999999999989</v>
      </c>
      <c r="Q71" s="79">
        <f t="shared" si="29"/>
        <v>2.0064686180704775E-22</v>
      </c>
      <c r="R71" s="49">
        <f t="shared" si="30"/>
        <v>0</v>
      </c>
      <c r="S71" s="49">
        <f t="shared" si="47"/>
        <v>0</v>
      </c>
      <c r="U71" s="51">
        <f t="shared" si="31"/>
        <v>3.8774938050441513E-33</v>
      </c>
      <c r="V71" s="49">
        <f t="shared" si="32"/>
        <v>0</v>
      </c>
      <c r="W71" s="51">
        <f t="shared" si="33"/>
        <v>0</v>
      </c>
      <c r="Y71" s="79">
        <f t="shared" si="34"/>
        <v>1.2453607321884853E-40</v>
      </c>
      <c r="Z71" s="49">
        <f t="shared" si="35"/>
        <v>0</v>
      </c>
      <c r="AA71" s="49">
        <f t="shared" si="36"/>
        <v>0</v>
      </c>
      <c r="AC71" s="79">
        <f t="shared" si="37"/>
        <v>2.3876035870265832E-46</v>
      </c>
      <c r="AD71" s="49" cm="1">
        <f t="array" ref="AD71">IF($M71&lt;clplus3,((gamma)^$M71)/(FACT($M71)),0)</f>
        <v>0</v>
      </c>
      <c r="AE71" s="49" cm="1">
        <f t="array" ref="AE71">IF($M71&lt;clplus3,(((clplus3-1)/clplus3)*AC71),0)</f>
        <v>0</v>
      </c>
      <c r="AG71" s="79">
        <f t="shared" si="38"/>
        <v>6.1022426065586421E-51</v>
      </c>
      <c r="AH71" s="49">
        <f t="shared" si="39"/>
        <v>0</v>
      </c>
      <c r="AI71" s="49">
        <f t="shared" si="40"/>
        <v>0</v>
      </c>
      <c r="AK71" s="79">
        <f t="shared" si="41"/>
        <v>9.3223731505383419E-55</v>
      </c>
      <c r="AL71" s="49">
        <f t="shared" si="42"/>
        <v>0</v>
      </c>
      <c r="AM71" s="49">
        <f t="shared" si="43"/>
        <v>0</v>
      </c>
      <c r="AO71" s="79">
        <f t="shared" si="44"/>
        <v>5.2720294411253482E-58</v>
      </c>
      <c r="AP71" s="49">
        <f t="shared" si="45"/>
        <v>0</v>
      </c>
      <c r="AQ71" s="49">
        <f t="shared" si="46"/>
        <v>0</v>
      </c>
    </row>
    <row r="72" spans="4:43" s="49" customFormat="1" ht="10.5" customHeight="1" x14ac:dyDescent="0.2">
      <c r="D72" s="82"/>
      <c r="J72" s="50"/>
      <c r="K72" s="51"/>
      <c r="M72" s="75">
        <v>64</v>
      </c>
      <c r="N72" s="192">
        <f t="shared" ref="N72:N108" si="48">IF(pop="M",Q72,"")</f>
        <v>9.1203119003203521E-23</v>
      </c>
      <c r="O72" s="192">
        <f t="shared" si="19"/>
        <v>0.99999999999999989</v>
      </c>
      <c r="Q72" s="79">
        <f t="shared" si="29"/>
        <v>9.1203119003203521E-23</v>
      </c>
      <c r="R72" s="49">
        <f t="shared" si="30"/>
        <v>0</v>
      </c>
      <c r="S72" s="49">
        <f t="shared" si="47"/>
        <v>0</v>
      </c>
      <c r="U72" s="51">
        <f t="shared" si="31"/>
        <v>1.1749981227406519E-33</v>
      </c>
      <c r="V72" s="49">
        <f t="shared" si="32"/>
        <v>0</v>
      </c>
      <c r="W72" s="51">
        <f t="shared" si="33"/>
        <v>0</v>
      </c>
      <c r="Y72" s="79">
        <f t="shared" si="34"/>
        <v>2.8303653004283755E-41</v>
      </c>
      <c r="Z72" s="49">
        <f t="shared" si="35"/>
        <v>0</v>
      </c>
      <c r="AA72" s="49">
        <f t="shared" si="36"/>
        <v>0</v>
      </c>
      <c r="AC72" s="79">
        <f t="shared" si="37"/>
        <v>4.341097430957424E-47</v>
      </c>
      <c r="AD72" s="49" cm="1">
        <f t="array" ref="AD72">IF($M72&lt;clplus3,((gamma)^$M72)/(FACT($M72)),0)</f>
        <v>0</v>
      </c>
      <c r="AE72" s="49" cm="1">
        <f t="array" ref="AE72">IF($M72&lt;clplus3,(((clplus3-1)/clplus3)*AC72),0)</f>
        <v>0</v>
      </c>
      <c r="AG72" s="79">
        <f t="shared" si="38"/>
        <v>9.2458221311494574E-52</v>
      </c>
      <c r="AH72" s="49">
        <f t="shared" si="39"/>
        <v>0</v>
      </c>
      <c r="AI72" s="49">
        <f t="shared" si="40"/>
        <v>0</v>
      </c>
      <c r="AK72" s="79">
        <f t="shared" si="41"/>
        <v>1.210697811758226E-55</v>
      </c>
      <c r="AL72" s="49">
        <f t="shared" si="42"/>
        <v>0</v>
      </c>
      <c r="AM72" s="49">
        <f t="shared" si="43"/>
        <v>0</v>
      </c>
      <c r="AO72" s="79">
        <f t="shared" si="44"/>
        <v>5.9909425467333499E-59</v>
      </c>
      <c r="AP72" s="49">
        <f t="shared" si="45"/>
        <v>0</v>
      </c>
      <c r="AQ72" s="49">
        <f t="shared" si="46"/>
        <v>0</v>
      </c>
    </row>
    <row r="73" spans="4:43" s="49" customFormat="1" ht="10.5" customHeight="1" x14ac:dyDescent="0.2">
      <c r="D73" s="82"/>
      <c r="J73" s="50"/>
      <c r="K73" s="51"/>
      <c r="M73" s="75">
        <v>65</v>
      </c>
      <c r="N73" s="192">
        <f t="shared" si="48"/>
        <v>4.1455963183274325E-23</v>
      </c>
      <c r="O73" s="192">
        <f t="shared" si="19"/>
        <v>0.99999999999999989</v>
      </c>
      <c r="Q73" s="79">
        <f t="shared" ref="Q73:Q108" si="49">IF(M73&lt;cl,Q72*(gamma/M73),Q72*(gamma/cl))</f>
        <v>4.1455963183274325E-23</v>
      </c>
      <c r="R73" s="49">
        <f t="shared" ref="R73:R108" si="50">IF(M73&lt;cl,((gamma)^M73)/(FACT(M73)),0)</f>
        <v>0</v>
      </c>
      <c r="S73" s="49">
        <f t="shared" si="47"/>
        <v>0</v>
      </c>
      <c r="U73" s="51">
        <f t="shared" ref="U73:U108" si="51">IF(M73&lt;clplus1,U72*(gamma/M73),U72*(gamma/clplus1))</f>
        <v>3.5606003719413697E-34</v>
      </c>
      <c r="V73" s="49">
        <f t="shared" ref="V73:V108" si="52">IF(M73&lt;clplus1,((gamma)^M73)/(FACT(M73)),0)</f>
        <v>0</v>
      </c>
      <c r="W73" s="51">
        <f t="shared" ref="W73:W108" si="53">IF(M73&lt;clplus1,(((clplus1-M73)/clplus1)*U73),0)</f>
        <v>0</v>
      </c>
      <c r="Y73" s="79">
        <f t="shared" ref="Y73:Y108" si="54">IF($M73&lt;clplus2,Y72*(gamma/M73),Y72*(gamma/clplus2))</f>
        <v>6.4326484100644902E-42</v>
      </c>
      <c r="Z73" s="49">
        <f t="shared" ref="Z73:Z108" si="55">IF($M73&lt;clplus2,((gamma)^$M73)/(FACT($M73)),0)</f>
        <v>0</v>
      </c>
      <c r="AA73" s="49">
        <f t="shared" ref="AA73:AA108" si="56">IF($M73&lt;clplus2,(((clplus2-1)/clplus2)*Y73),0)</f>
        <v>0</v>
      </c>
      <c r="AC73" s="79">
        <f t="shared" ref="AC73:AC108" si="57">IF($M73&lt;clplus3,AC72*(gamma/$M73),AC72*(gamma/clplus3))</f>
        <v>7.8929044199225888E-48</v>
      </c>
      <c r="AD73" s="49" cm="1">
        <f t="array" ref="AD73">IF($M73&lt;clplus3,((gamma)^$M73)/(FACT($M73)),0)</f>
        <v>0</v>
      </c>
      <c r="AE73" s="49" cm="1">
        <f t="array" ref="AE73">IF($M73&lt;clplus3,(((clplus3-1)/clplus3)*AC73),0)</f>
        <v>0</v>
      </c>
      <c r="AG73" s="79">
        <f t="shared" ref="AG73:AG108" si="58">IF($M73&lt;clplus4,AG72*(gamma/$M73),AG72*(gamma/clplus4))</f>
        <v>1.4008821410832512E-52</v>
      </c>
      <c r="AH73" s="49">
        <f t="shared" ref="AH73:AH108" si="59">IF($M73&lt;clplus4,((gamma)^$M73)/(FACT($M73)),0)</f>
        <v>0</v>
      </c>
      <c r="AI73" s="49">
        <f t="shared" ref="AI73:AI108" si="60">IF($M73&lt;clplus4,(((clplus4-1)/clplus4)*AG73),0)</f>
        <v>0</v>
      </c>
      <c r="AK73" s="79">
        <f t="shared" ref="AK73:AK108" si="61">IF($M73&lt;clplus5,AK72*(gamma/$M73),AK72*(gamma/clplus5))</f>
        <v>1.5723348204652285E-56</v>
      </c>
      <c r="AL73" s="49">
        <f t="shared" ref="AL73:AL108" si="62">IF($M73&lt;clplus5,((gamma)^$M73)/(FACT($M73)),0)</f>
        <v>0</v>
      </c>
      <c r="AM73" s="49">
        <f t="shared" ref="AM73:AM108" si="63">IF($M73&lt;clplus5,(((clplus5-1)/clplus5)*AK73),0)</f>
        <v>0</v>
      </c>
      <c r="AO73" s="79">
        <f t="shared" ref="AO73:AO108" si="64">IF($M73&lt;clminus1,AO72*(gamma/$M73),AO72*(gamma/clminus1))</f>
        <v>6.8078892576515337E-60</v>
      </c>
      <c r="AP73" s="49">
        <f t="shared" ref="AP73:AP108" si="65">IF($M73&lt;clminus1,((gamma)^$M73)/(FACT($M73)),0)</f>
        <v>0</v>
      </c>
      <c r="AQ73" s="49">
        <f t="shared" ref="AQ73:AQ108" si="66">IF($M73&lt;clminus1,(((clminus1-1)/clminus1)*AO73),0)</f>
        <v>0</v>
      </c>
    </row>
    <row r="74" spans="4:43" s="49" customFormat="1" ht="10.5" customHeight="1" x14ac:dyDescent="0.2">
      <c r="D74" s="82"/>
      <c r="J74" s="50"/>
      <c r="K74" s="51"/>
      <c r="M74" s="75">
        <v>66</v>
      </c>
      <c r="N74" s="192">
        <f t="shared" si="48"/>
        <v>1.8843619628761056E-23</v>
      </c>
      <c r="O74" s="192">
        <f t="shared" ref="O74:O108" si="67">O73+N74</f>
        <v>0.99999999999999989</v>
      </c>
      <c r="Q74" s="79">
        <f t="shared" si="49"/>
        <v>1.8843619628761056E-23</v>
      </c>
      <c r="R74" s="49">
        <f t="shared" si="50"/>
        <v>0</v>
      </c>
      <c r="S74" s="49">
        <f t="shared" ref="S74:S108" si="68">IF(M74&lt;cl,(((cl-M74)/cl)*Q74),0)</f>
        <v>0</v>
      </c>
      <c r="U74" s="51">
        <f t="shared" si="51"/>
        <v>1.0789698096792029E-34</v>
      </c>
      <c r="V74" s="49">
        <f t="shared" si="52"/>
        <v>0</v>
      </c>
      <c r="W74" s="51">
        <f t="shared" si="53"/>
        <v>0</v>
      </c>
      <c r="Y74" s="79">
        <f t="shared" si="54"/>
        <v>1.4619655477419297E-42</v>
      </c>
      <c r="Z74" s="49">
        <f t="shared" si="55"/>
        <v>0</v>
      </c>
      <c r="AA74" s="49">
        <f t="shared" si="56"/>
        <v>0</v>
      </c>
      <c r="AC74" s="79">
        <f t="shared" si="57"/>
        <v>1.4350735308950161E-48</v>
      </c>
      <c r="AD74" s="49" cm="1">
        <f t="array" ref="AD74">IF($M74&lt;clplus3,((gamma)^$M74)/(FACT($M74)),0)</f>
        <v>0</v>
      </c>
      <c r="AE74" s="49" cm="1">
        <f t="array" ref="AE74">IF($M74&lt;clplus3,(((clplus3-1)/clplus3)*AC74),0)</f>
        <v>0</v>
      </c>
      <c r="AG74" s="79">
        <f t="shared" si="58"/>
        <v>2.1225486986109867E-53</v>
      </c>
      <c r="AH74" s="49">
        <f t="shared" si="59"/>
        <v>0</v>
      </c>
      <c r="AI74" s="49">
        <f t="shared" si="60"/>
        <v>0</v>
      </c>
      <c r="AK74" s="79">
        <f t="shared" si="61"/>
        <v>2.0419932733314653E-57</v>
      </c>
      <c r="AL74" s="49">
        <f t="shared" si="62"/>
        <v>0</v>
      </c>
      <c r="AM74" s="49">
        <f t="shared" si="63"/>
        <v>0</v>
      </c>
      <c r="AO74" s="79">
        <f t="shared" si="64"/>
        <v>7.7362377927858339E-61</v>
      </c>
      <c r="AP74" s="49">
        <f t="shared" si="65"/>
        <v>0</v>
      </c>
      <c r="AQ74" s="49">
        <f t="shared" si="66"/>
        <v>0</v>
      </c>
    </row>
    <row r="75" spans="4:43" s="49" customFormat="1" ht="10.5" customHeight="1" x14ac:dyDescent="0.2">
      <c r="D75" s="82"/>
      <c r="J75" s="50"/>
      <c r="K75" s="51"/>
      <c r="M75" s="75">
        <v>67</v>
      </c>
      <c r="N75" s="192">
        <f t="shared" si="48"/>
        <v>8.5652816494368435E-24</v>
      </c>
      <c r="O75" s="192">
        <f t="shared" si="67"/>
        <v>0.99999999999999989</v>
      </c>
      <c r="Q75" s="79">
        <f t="shared" si="49"/>
        <v>8.5652816494368435E-24</v>
      </c>
      <c r="R75" s="49">
        <f t="shared" si="50"/>
        <v>0</v>
      </c>
      <c r="S75" s="49">
        <f t="shared" si="68"/>
        <v>0</v>
      </c>
      <c r="U75" s="51">
        <f t="shared" si="51"/>
        <v>3.2696054838763728E-35</v>
      </c>
      <c r="V75" s="49">
        <f t="shared" si="52"/>
        <v>0</v>
      </c>
      <c r="W75" s="51">
        <f t="shared" si="53"/>
        <v>0</v>
      </c>
      <c r="Y75" s="79">
        <f t="shared" si="54"/>
        <v>3.3226489721407491E-43</v>
      </c>
      <c r="Z75" s="49">
        <f t="shared" si="55"/>
        <v>0</v>
      </c>
      <c r="AA75" s="49">
        <f t="shared" si="56"/>
        <v>0</v>
      </c>
      <c r="AC75" s="79">
        <f t="shared" si="57"/>
        <v>2.609224601627302E-49</v>
      </c>
      <c r="AD75" s="49" cm="1">
        <f t="array" ref="AD75">IF($M75&lt;clplus3,((gamma)^$M75)/(FACT($M75)),0)</f>
        <v>0</v>
      </c>
      <c r="AE75" s="49" cm="1">
        <f t="array" ref="AE75">IF($M75&lt;clplus3,(((clplus3-1)/clplus3)*AC75),0)</f>
        <v>0</v>
      </c>
      <c r="AG75" s="79">
        <f t="shared" si="58"/>
        <v>3.2159828766833136E-54</v>
      </c>
      <c r="AH75" s="49">
        <f t="shared" si="59"/>
        <v>0</v>
      </c>
      <c r="AI75" s="49">
        <f t="shared" si="60"/>
        <v>0</v>
      </c>
      <c r="AK75" s="79">
        <f t="shared" si="61"/>
        <v>2.6519393160148899E-58</v>
      </c>
      <c r="AL75" s="49">
        <f t="shared" si="62"/>
        <v>0</v>
      </c>
      <c r="AM75" s="49">
        <f t="shared" si="63"/>
        <v>0</v>
      </c>
      <c r="AO75" s="79">
        <f t="shared" si="64"/>
        <v>8.791179309983902E-62</v>
      </c>
      <c r="AP75" s="49">
        <f t="shared" si="65"/>
        <v>0</v>
      </c>
      <c r="AQ75" s="49">
        <f t="shared" si="66"/>
        <v>0</v>
      </c>
    </row>
    <row r="76" spans="4:43" s="49" customFormat="1" ht="10.5" customHeight="1" x14ac:dyDescent="0.2">
      <c r="D76" s="82"/>
      <c r="J76" s="50"/>
      <c r="K76" s="51"/>
      <c r="M76" s="75">
        <v>68</v>
      </c>
      <c r="N76" s="192">
        <f t="shared" si="48"/>
        <v>3.8933098406531106E-24</v>
      </c>
      <c r="O76" s="192">
        <f t="shared" si="67"/>
        <v>0.99999999999999989</v>
      </c>
      <c r="Q76" s="79">
        <f t="shared" si="49"/>
        <v>3.8933098406531106E-24</v>
      </c>
      <c r="R76" s="49">
        <f t="shared" si="50"/>
        <v>0</v>
      </c>
      <c r="S76" s="49">
        <f t="shared" si="68"/>
        <v>0</v>
      </c>
      <c r="U76" s="51">
        <f t="shared" si="51"/>
        <v>9.9078954056859788E-36</v>
      </c>
      <c r="V76" s="49">
        <f t="shared" si="52"/>
        <v>0</v>
      </c>
      <c r="W76" s="51">
        <f t="shared" si="53"/>
        <v>0</v>
      </c>
      <c r="Y76" s="79">
        <f t="shared" si="54"/>
        <v>7.5514749366835202E-44</v>
      </c>
      <c r="Z76" s="49">
        <f t="shared" si="55"/>
        <v>0</v>
      </c>
      <c r="AA76" s="49">
        <f t="shared" si="56"/>
        <v>0</v>
      </c>
      <c r="AC76" s="79">
        <f t="shared" si="57"/>
        <v>4.744044730231458E-50</v>
      </c>
      <c r="AD76" s="49" cm="1">
        <f t="array" ref="AD76">IF($M76&lt;clplus3,((gamma)^$M76)/(FACT($M76)),0)</f>
        <v>0</v>
      </c>
      <c r="AE76" s="49" cm="1">
        <f t="array" ref="AE76">IF($M76&lt;clplus3,(((clplus3-1)/clplus3)*AC76),0)</f>
        <v>0</v>
      </c>
      <c r="AG76" s="79">
        <f t="shared" si="58"/>
        <v>4.8727013283080512E-55</v>
      </c>
      <c r="AH76" s="49">
        <f t="shared" si="59"/>
        <v>0</v>
      </c>
      <c r="AI76" s="49">
        <f t="shared" si="60"/>
        <v>0</v>
      </c>
      <c r="AK76" s="79">
        <f t="shared" si="61"/>
        <v>3.444077033785571E-59</v>
      </c>
      <c r="AL76" s="49">
        <f t="shared" si="62"/>
        <v>0</v>
      </c>
      <c r="AM76" s="49">
        <f t="shared" si="63"/>
        <v>0</v>
      </c>
      <c r="AO76" s="79">
        <f t="shared" si="64"/>
        <v>9.9899764886180699E-63</v>
      </c>
      <c r="AP76" s="49">
        <f t="shared" si="65"/>
        <v>0</v>
      </c>
      <c r="AQ76" s="49">
        <f t="shared" si="66"/>
        <v>0</v>
      </c>
    </row>
    <row r="77" spans="4:43" s="49" customFormat="1" ht="10.5" customHeight="1" x14ac:dyDescent="0.2">
      <c r="D77" s="82"/>
      <c r="J77" s="50"/>
      <c r="K77" s="51"/>
      <c r="M77" s="75">
        <v>69</v>
      </c>
      <c r="N77" s="192">
        <f t="shared" si="48"/>
        <v>1.7696862912059593E-24</v>
      </c>
      <c r="O77" s="192">
        <f t="shared" si="67"/>
        <v>0.99999999999999989</v>
      </c>
      <c r="Q77" s="79">
        <f t="shared" si="49"/>
        <v>1.7696862912059593E-24</v>
      </c>
      <c r="R77" s="49">
        <f t="shared" si="50"/>
        <v>0</v>
      </c>
      <c r="S77" s="49">
        <f t="shared" si="68"/>
        <v>0</v>
      </c>
      <c r="U77" s="51">
        <f t="shared" si="51"/>
        <v>3.0023925471775693E-36</v>
      </c>
      <c r="V77" s="49">
        <f t="shared" si="52"/>
        <v>0</v>
      </c>
      <c r="W77" s="51">
        <f t="shared" si="53"/>
        <v>0</v>
      </c>
      <c r="Y77" s="79">
        <f t="shared" si="54"/>
        <v>1.716244303791709E-44</v>
      </c>
      <c r="Z77" s="49">
        <f t="shared" si="55"/>
        <v>0</v>
      </c>
      <c r="AA77" s="49">
        <f t="shared" si="56"/>
        <v>0</v>
      </c>
      <c r="AC77" s="79">
        <f t="shared" si="57"/>
        <v>8.6255358731481056E-51</v>
      </c>
      <c r="AD77" s="49" cm="1">
        <f t="array" ref="AD77">IF($M77&lt;clplus3,((gamma)^$M77)/(FACT($M77)),0)</f>
        <v>0</v>
      </c>
      <c r="AE77" s="49" cm="1">
        <f t="array" ref="AE77">IF($M77&lt;clplus3,(((clplus3-1)/clplus3)*AC77),0)</f>
        <v>0</v>
      </c>
      <c r="AG77" s="79">
        <f t="shared" si="58"/>
        <v>7.382880800466744E-56</v>
      </c>
      <c r="AH77" s="49">
        <f t="shared" si="59"/>
        <v>0</v>
      </c>
      <c r="AI77" s="49">
        <f t="shared" si="60"/>
        <v>0</v>
      </c>
      <c r="AK77" s="79">
        <f t="shared" si="61"/>
        <v>4.4728273166046373E-60</v>
      </c>
      <c r="AL77" s="49">
        <f t="shared" si="62"/>
        <v>0</v>
      </c>
      <c r="AM77" s="49">
        <f t="shared" si="63"/>
        <v>0</v>
      </c>
      <c r="AO77" s="79">
        <f t="shared" si="64"/>
        <v>1.1352246009793261E-63</v>
      </c>
      <c r="AP77" s="49">
        <f t="shared" si="65"/>
        <v>0</v>
      </c>
      <c r="AQ77" s="49">
        <f t="shared" si="66"/>
        <v>0</v>
      </c>
    </row>
    <row r="78" spans="4:43" s="49" customFormat="1" ht="10.5" customHeight="1" x14ac:dyDescent="0.2">
      <c r="D78" s="82"/>
      <c r="J78" s="50"/>
      <c r="K78" s="51"/>
      <c r="M78" s="75">
        <v>70</v>
      </c>
      <c r="N78" s="192">
        <f t="shared" si="48"/>
        <v>8.0440285963907241E-25</v>
      </c>
      <c r="O78" s="192">
        <f t="shared" si="67"/>
        <v>0.99999999999999989</v>
      </c>
      <c r="Q78" s="79">
        <f t="shared" si="49"/>
        <v>8.0440285963907241E-25</v>
      </c>
      <c r="R78" s="49">
        <f t="shared" si="50"/>
        <v>0</v>
      </c>
      <c r="S78" s="49">
        <f t="shared" si="68"/>
        <v>0</v>
      </c>
      <c r="U78" s="51">
        <f t="shared" si="51"/>
        <v>9.0981592338714219E-37</v>
      </c>
      <c r="V78" s="49">
        <f t="shared" si="52"/>
        <v>0</v>
      </c>
      <c r="W78" s="51">
        <f t="shared" si="53"/>
        <v>0</v>
      </c>
      <c r="Y78" s="79">
        <f t="shared" si="54"/>
        <v>3.9005552358902476E-45</v>
      </c>
      <c r="Z78" s="49">
        <f t="shared" si="55"/>
        <v>0</v>
      </c>
      <c r="AA78" s="49">
        <f t="shared" si="56"/>
        <v>0</v>
      </c>
      <c r="AC78" s="79">
        <f t="shared" si="57"/>
        <v>1.568279249663292E-51</v>
      </c>
      <c r="AD78" s="49" cm="1">
        <f t="array" ref="AD78">IF($M78&lt;clplus3,((gamma)^$M78)/(FACT($M78)),0)</f>
        <v>0</v>
      </c>
      <c r="AE78" s="49" cm="1">
        <f t="array" ref="AE78">IF($M78&lt;clplus3,(((clplus3-1)/clplus3)*AC78),0)</f>
        <v>0</v>
      </c>
      <c r="AG78" s="79">
        <f t="shared" si="58"/>
        <v>1.1186183031010219E-56</v>
      </c>
      <c r="AH78" s="49">
        <f t="shared" si="59"/>
        <v>0</v>
      </c>
      <c r="AI78" s="49">
        <f t="shared" si="60"/>
        <v>0</v>
      </c>
      <c r="AK78" s="79">
        <f t="shared" si="61"/>
        <v>5.8088666449410867E-61</v>
      </c>
      <c r="AL78" s="49">
        <f t="shared" si="62"/>
        <v>0</v>
      </c>
      <c r="AM78" s="49">
        <f t="shared" si="63"/>
        <v>0</v>
      </c>
      <c r="AO78" s="79">
        <f t="shared" si="64"/>
        <v>1.290027955658325E-64</v>
      </c>
      <c r="AP78" s="49">
        <f t="shared" si="65"/>
        <v>0</v>
      </c>
      <c r="AQ78" s="49">
        <f t="shared" si="66"/>
        <v>0</v>
      </c>
    </row>
    <row r="79" spans="4:43" s="49" customFormat="1" ht="10.5" customHeight="1" x14ac:dyDescent="0.2">
      <c r="D79" s="82"/>
      <c r="J79" s="50"/>
      <c r="K79" s="51"/>
      <c r="M79" s="75">
        <v>71</v>
      </c>
      <c r="N79" s="192">
        <f t="shared" si="48"/>
        <v>3.6563766347230562E-25</v>
      </c>
      <c r="O79" s="192">
        <f t="shared" si="67"/>
        <v>0.99999999999999989</v>
      </c>
      <c r="Q79" s="79">
        <f t="shared" si="49"/>
        <v>3.6563766347230562E-25</v>
      </c>
      <c r="R79" s="49">
        <f t="shared" si="50"/>
        <v>0</v>
      </c>
      <c r="S79" s="49">
        <f t="shared" si="68"/>
        <v>0</v>
      </c>
      <c r="U79" s="51">
        <f t="shared" si="51"/>
        <v>2.7570179496580066E-37</v>
      </c>
      <c r="V79" s="49">
        <f t="shared" si="52"/>
        <v>0</v>
      </c>
      <c r="W79" s="51">
        <f t="shared" si="53"/>
        <v>0</v>
      </c>
      <c r="Y79" s="79">
        <f t="shared" si="54"/>
        <v>8.8648982633869269E-46</v>
      </c>
      <c r="Z79" s="49">
        <f t="shared" si="55"/>
        <v>0</v>
      </c>
      <c r="AA79" s="49">
        <f t="shared" si="56"/>
        <v>0</v>
      </c>
      <c r="AC79" s="79">
        <f t="shared" si="57"/>
        <v>2.8514168175696218E-52</v>
      </c>
      <c r="AD79" s="49" cm="1">
        <f t="array" ref="AD79">IF($M79&lt;clplus3,((gamma)^$M79)/(FACT($M79)),0)</f>
        <v>0</v>
      </c>
      <c r="AE79" s="49" cm="1">
        <f t="array" ref="AE79">IF($M79&lt;clplus3,(((clplus3-1)/clplus3)*AC79),0)</f>
        <v>0</v>
      </c>
      <c r="AG79" s="79">
        <f t="shared" si="58"/>
        <v>1.6948762168197303E-57</v>
      </c>
      <c r="AH79" s="49">
        <f t="shared" si="59"/>
        <v>0</v>
      </c>
      <c r="AI79" s="49">
        <f t="shared" si="60"/>
        <v>0</v>
      </c>
      <c r="AK79" s="79">
        <f t="shared" si="61"/>
        <v>7.5439826557676443E-62</v>
      </c>
      <c r="AL79" s="49">
        <f t="shared" si="62"/>
        <v>0</v>
      </c>
      <c r="AM79" s="49">
        <f t="shared" si="63"/>
        <v>0</v>
      </c>
      <c r="AO79" s="79">
        <f t="shared" si="64"/>
        <v>1.4659408587026419E-65</v>
      </c>
      <c r="AP79" s="49">
        <f t="shared" si="65"/>
        <v>0</v>
      </c>
      <c r="AQ79" s="49">
        <f t="shared" si="66"/>
        <v>0</v>
      </c>
    </row>
    <row r="80" spans="4:43" s="49" customFormat="1" ht="10.5" customHeight="1" x14ac:dyDescent="0.2">
      <c r="D80" s="82"/>
      <c r="J80" s="50"/>
      <c r="K80" s="51"/>
      <c r="M80" s="75">
        <v>72</v>
      </c>
      <c r="N80" s="192">
        <f t="shared" si="48"/>
        <v>1.661989379419571E-25</v>
      </c>
      <c r="O80" s="192">
        <f t="shared" si="67"/>
        <v>0.99999999999999989</v>
      </c>
      <c r="Q80" s="79">
        <f t="shared" si="49"/>
        <v>1.661989379419571E-25</v>
      </c>
      <c r="R80" s="49">
        <f t="shared" si="50"/>
        <v>0</v>
      </c>
      <c r="S80" s="49">
        <f t="shared" si="68"/>
        <v>0</v>
      </c>
      <c r="U80" s="51">
        <f t="shared" si="51"/>
        <v>8.3545998474485047E-38</v>
      </c>
      <c r="V80" s="49">
        <f t="shared" si="52"/>
        <v>0</v>
      </c>
      <c r="W80" s="51">
        <f t="shared" si="53"/>
        <v>0</v>
      </c>
      <c r="Y80" s="79">
        <f t="shared" si="54"/>
        <v>2.0147496053152105E-46</v>
      </c>
      <c r="Z80" s="49">
        <f t="shared" si="55"/>
        <v>0</v>
      </c>
      <c r="AA80" s="49">
        <f t="shared" si="56"/>
        <v>0</v>
      </c>
      <c r="AC80" s="79">
        <f t="shared" si="57"/>
        <v>5.1843942137629489E-53</v>
      </c>
      <c r="AD80" s="49" cm="1">
        <f t="array" ref="AD80">IF($M80&lt;clplus3,((gamma)^$M80)/(FACT($M80)),0)</f>
        <v>0</v>
      </c>
      <c r="AE80" s="49" cm="1">
        <f t="array" ref="AE80">IF($M80&lt;clplus3,(((clplus3-1)/clplus3)*AC80),0)</f>
        <v>0</v>
      </c>
      <c r="AG80" s="79">
        <f t="shared" si="58"/>
        <v>2.5679942679086823E-58</v>
      </c>
      <c r="AH80" s="49">
        <f t="shared" si="59"/>
        <v>0</v>
      </c>
      <c r="AI80" s="49">
        <f t="shared" si="60"/>
        <v>0</v>
      </c>
      <c r="AK80" s="79">
        <f t="shared" si="61"/>
        <v>9.7973800724255116E-63</v>
      </c>
      <c r="AL80" s="49">
        <f t="shared" si="62"/>
        <v>0</v>
      </c>
      <c r="AM80" s="49">
        <f t="shared" si="63"/>
        <v>0</v>
      </c>
      <c r="AO80" s="79">
        <f t="shared" si="64"/>
        <v>1.6658418848893656E-66</v>
      </c>
      <c r="AP80" s="49">
        <f t="shared" si="65"/>
        <v>0</v>
      </c>
      <c r="AQ80" s="49">
        <f t="shared" si="66"/>
        <v>0</v>
      </c>
    </row>
    <row r="81" spans="4:43" s="49" customFormat="1" ht="10.5" customHeight="1" x14ac:dyDescent="0.2">
      <c r="D81" s="82"/>
      <c r="J81" s="50"/>
      <c r="K81" s="51"/>
      <c r="M81" s="75">
        <v>73</v>
      </c>
      <c r="N81" s="192">
        <f t="shared" si="48"/>
        <v>7.5544971791798682E-26</v>
      </c>
      <c r="O81" s="192">
        <f t="shared" si="67"/>
        <v>0.99999999999999989</v>
      </c>
      <c r="Q81" s="79">
        <f t="shared" si="49"/>
        <v>7.5544971791798682E-26</v>
      </c>
      <c r="R81" s="49">
        <f t="shared" si="50"/>
        <v>0</v>
      </c>
      <c r="S81" s="49">
        <f t="shared" si="68"/>
        <v>0</v>
      </c>
      <c r="U81" s="51">
        <f t="shared" si="51"/>
        <v>2.5316969234692438E-38</v>
      </c>
      <c r="V81" s="49">
        <f t="shared" si="52"/>
        <v>0</v>
      </c>
      <c r="W81" s="51">
        <f t="shared" si="53"/>
        <v>0</v>
      </c>
      <c r="Y81" s="79">
        <f t="shared" si="54"/>
        <v>4.5789763757163873E-47</v>
      </c>
      <c r="Z81" s="49">
        <f t="shared" si="55"/>
        <v>0</v>
      </c>
      <c r="AA81" s="49">
        <f t="shared" si="56"/>
        <v>0</v>
      </c>
      <c r="AC81" s="79">
        <f t="shared" si="57"/>
        <v>9.4261712977508169E-54</v>
      </c>
      <c r="AD81" s="49" cm="1">
        <f t="array" ref="AD81">IF($M81&lt;clplus3,((gamma)^$M81)/(FACT($M81)),0)</f>
        <v>0</v>
      </c>
      <c r="AE81" s="49" cm="1">
        <f t="array" ref="AE81">IF($M81&lt;clplus3,(((clplus3-1)/clplus3)*AC81),0)</f>
        <v>0</v>
      </c>
      <c r="AG81" s="79">
        <f t="shared" si="58"/>
        <v>3.890900405922246E-59</v>
      </c>
      <c r="AH81" s="49">
        <f t="shared" si="59"/>
        <v>0</v>
      </c>
      <c r="AI81" s="49">
        <f t="shared" si="60"/>
        <v>0</v>
      </c>
      <c r="AK81" s="79">
        <f t="shared" si="61"/>
        <v>1.2723870223929235E-63</v>
      </c>
      <c r="AL81" s="49">
        <f t="shared" si="62"/>
        <v>0</v>
      </c>
      <c r="AM81" s="49">
        <f t="shared" si="63"/>
        <v>0</v>
      </c>
      <c r="AO81" s="79">
        <f t="shared" si="64"/>
        <v>1.8930021419197337E-67</v>
      </c>
      <c r="AP81" s="49">
        <f t="shared" si="65"/>
        <v>0</v>
      </c>
      <c r="AQ81" s="49">
        <f t="shared" si="66"/>
        <v>0</v>
      </c>
    </row>
    <row r="82" spans="4:43" s="49" customFormat="1" ht="10.5" customHeight="1" x14ac:dyDescent="0.2">
      <c r="D82" s="82"/>
      <c r="J82" s="50"/>
      <c r="K82" s="51"/>
      <c r="M82" s="75">
        <v>74</v>
      </c>
      <c r="N82" s="192">
        <f t="shared" si="48"/>
        <v>3.4338623541726671E-26</v>
      </c>
      <c r="O82" s="192">
        <f t="shared" si="67"/>
        <v>0.99999999999999989</v>
      </c>
      <c r="Q82" s="79">
        <f t="shared" si="49"/>
        <v>3.4338623541726671E-26</v>
      </c>
      <c r="R82" s="49">
        <f t="shared" si="50"/>
        <v>0</v>
      </c>
      <c r="S82" s="49">
        <f t="shared" si="68"/>
        <v>0</v>
      </c>
      <c r="U82" s="51">
        <f t="shared" si="51"/>
        <v>7.6718088589977092E-39</v>
      </c>
      <c r="V82" s="49">
        <f t="shared" si="52"/>
        <v>0</v>
      </c>
      <c r="W82" s="51">
        <f t="shared" si="53"/>
        <v>0</v>
      </c>
      <c r="Y82" s="79">
        <f t="shared" si="54"/>
        <v>1.0406764490264517E-47</v>
      </c>
      <c r="Z82" s="49">
        <f t="shared" si="55"/>
        <v>0</v>
      </c>
      <c r="AA82" s="49">
        <f t="shared" si="56"/>
        <v>0</v>
      </c>
      <c r="AC82" s="79">
        <f t="shared" si="57"/>
        <v>1.7138493268637849E-54</v>
      </c>
      <c r="AD82" s="49" cm="1">
        <f t="array" ref="AD82">IF($M82&lt;clplus3,((gamma)^$M82)/(FACT($M82)),0)</f>
        <v>0</v>
      </c>
      <c r="AE82" s="49" cm="1">
        <f t="array" ref="AE82">IF($M82&lt;clplus3,(((clplus3-1)/clplus3)*AC82),0)</f>
        <v>0</v>
      </c>
      <c r="AG82" s="79">
        <f t="shared" si="58"/>
        <v>5.8953036453367361E-60</v>
      </c>
      <c r="AH82" s="49">
        <f t="shared" si="59"/>
        <v>0</v>
      </c>
      <c r="AI82" s="49">
        <f t="shared" si="60"/>
        <v>0</v>
      </c>
      <c r="AK82" s="79">
        <f t="shared" si="61"/>
        <v>1.6524506784323681E-64</v>
      </c>
      <c r="AL82" s="49">
        <f t="shared" si="62"/>
        <v>0</v>
      </c>
      <c r="AM82" s="49">
        <f t="shared" si="63"/>
        <v>0</v>
      </c>
      <c r="AO82" s="79">
        <f t="shared" si="64"/>
        <v>2.1511387976360611E-68</v>
      </c>
      <c r="AP82" s="49">
        <f t="shared" si="65"/>
        <v>0</v>
      </c>
      <c r="AQ82" s="49">
        <f t="shared" si="66"/>
        <v>0</v>
      </c>
    </row>
    <row r="83" spans="4:43" s="49" customFormat="1" ht="10.5" customHeight="1" x14ac:dyDescent="0.2">
      <c r="D83" s="82"/>
      <c r="J83" s="50"/>
      <c r="K83" s="51"/>
      <c r="M83" s="75">
        <v>75</v>
      </c>
      <c r="N83" s="192">
        <f t="shared" si="48"/>
        <v>1.5608465246239395E-26</v>
      </c>
      <c r="O83" s="192">
        <f t="shared" si="67"/>
        <v>0.99999999999999989</v>
      </c>
      <c r="Q83" s="79">
        <f t="shared" si="49"/>
        <v>1.5608465246239395E-26</v>
      </c>
      <c r="R83" s="49">
        <f t="shared" si="50"/>
        <v>0</v>
      </c>
      <c r="S83" s="49">
        <f t="shared" si="68"/>
        <v>0</v>
      </c>
      <c r="U83" s="51">
        <f t="shared" si="51"/>
        <v>2.3247905633326393E-39</v>
      </c>
      <c r="V83" s="49">
        <f t="shared" si="52"/>
        <v>0</v>
      </c>
      <c r="W83" s="51">
        <f t="shared" si="53"/>
        <v>0</v>
      </c>
      <c r="Y83" s="79">
        <f t="shared" si="54"/>
        <v>2.36517374778739E-48</v>
      </c>
      <c r="Z83" s="49">
        <f t="shared" si="55"/>
        <v>0</v>
      </c>
      <c r="AA83" s="49">
        <f t="shared" si="56"/>
        <v>0</v>
      </c>
      <c r="AC83" s="79">
        <f t="shared" si="57"/>
        <v>3.1160896852068815E-55</v>
      </c>
      <c r="AD83" s="49" cm="1">
        <f t="array" ref="AD83">IF($M83&lt;clplus3,((gamma)^$M83)/(FACT($M83)),0)</f>
        <v>0</v>
      </c>
      <c r="AE83" s="49" cm="1">
        <f t="array" ref="AE83">IF($M83&lt;clplus3,(((clplus3-1)/clplus3)*AC83),0)</f>
        <v>0</v>
      </c>
      <c r="AG83" s="79">
        <f t="shared" si="58"/>
        <v>8.932278250510207E-61</v>
      </c>
      <c r="AH83" s="49">
        <f t="shared" si="59"/>
        <v>0</v>
      </c>
      <c r="AI83" s="49">
        <f t="shared" si="60"/>
        <v>0</v>
      </c>
      <c r="AK83" s="79">
        <f t="shared" si="61"/>
        <v>2.1460398421199584E-65</v>
      </c>
      <c r="AL83" s="49">
        <f t="shared" si="62"/>
        <v>0</v>
      </c>
      <c r="AM83" s="49">
        <f t="shared" si="63"/>
        <v>0</v>
      </c>
      <c r="AO83" s="79">
        <f t="shared" si="64"/>
        <v>2.4444759064046148E-69</v>
      </c>
      <c r="AP83" s="49">
        <f t="shared" si="65"/>
        <v>0</v>
      </c>
      <c r="AQ83" s="49">
        <f t="shared" si="66"/>
        <v>0</v>
      </c>
    </row>
    <row r="84" spans="4:43" s="49" customFormat="1" ht="10.5" customHeight="1" x14ac:dyDescent="0.2">
      <c r="D84" s="82"/>
      <c r="J84" s="50"/>
      <c r="K84" s="51"/>
      <c r="M84" s="75">
        <v>76</v>
      </c>
      <c r="N84" s="192">
        <f t="shared" si="48"/>
        <v>7.0947569301088148E-27</v>
      </c>
      <c r="O84" s="192">
        <f t="shared" si="67"/>
        <v>0.99999999999999989</v>
      </c>
      <c r="Q84" s="79">
        <f t="shared" si="49"/>
        <v>7.0947569301088148E-27</v>
      </c>
      <c r="R84" s="49">
        <f t="shared" si="50"/>
        <v>0</v>
      </c>
      <c r="S84" s="49">
        <f t="shared" si="68"/>
        <v>0</v>
      </c>
      <c r="U84" s="51">
        <f t="shared" si="51"/>
        <v>7.0448198888867861E-40</v>
      </c>
      <c r="V84" s="49">
        <f t="shared" si="52"/>
        <v>0</v>
      </c>
      <c r="W84" s="51">
        <f t="shared" si="53"/>
        <v>0</v>
      </c>
      <c r="Y84" s="79">
        <f t="shared" si="54"/>
        <v>5.3753948813349773E-49</v>
      </c>
      <c r="Z84" s="49">
        <f t="shared" si="55"/>
        <v>0</v>
      </c>
      <c r="AA84" s="49">
        <f t="shared" si="56"/>
        <v>0</v>
      </c>
      <c r="AC84" s="79">
        <f t="shared" si="57"/>
        <v>5.6656176094670573E-56</v>
      </c>
      <c r="AD84" s="49" cm="1">
        <f t="array" ref="AD84">IF($M84&lt;clplus3,((gamma)^$M84)/(FACT($M84)),0)</f>
        <v>0</v>
      </c>
      <c r="AE84" s="49" cm="1">
        <f t="array" ref="AE84">IF($M84&lt;clplus3,(((clplus3-1)/clplus3)*AC84),0)</f>
        <v>0</v>
      </c>
      <c r="AG84" s="79">
        <f t="shared" si="58"/>
        <v>1.3533754925015466E-61</v>
      </c>
      <c r="AH84" s="49">
        <f t="shared" si="59"/>
        <v>0</v>
      </c>
      <c r="AI84" s="49">
        <f t="shared" si="60"/>
        <v>0</v>
      </c>
      <c r="AK84" s="79">
        <f t="shared" si="61"/>
        <v>2.7870647300259199E-66</v>
      </c>
      <c r="AL84" s="49">
        <f t="shared" si="62"/>
        <v>0</v>
      </c>
      <c r="AM84" s="49">
        <f t="shared" si="63"/>
        <v>0</v>
      </c>
      <c r="AO84" s="79">
        <f t="shared" si="64"/>
        <v>2.777813530005244E-70</v>
      </c>
      <c r="AP84" s="49">
        <f t="shared" si="65"/>
        <v>0</v>
      </c>
      <c r="AQ84" s="49">
        <f t="shared" si="66"/>
        <v>0</v>
      </c>
    </row>
    <row r="85" spans="4:43" s="49" customFormat="1" ht="10.5" customHeight="1" x14ac:dyDescent="0.2">
      <c r="D85" s="82"/>
      <c r="J85" s="50"/>
      <c r="K85" s="51"/>
      <c r="M85" s="75">
        <v>77</v>
      </c>
      <c r="N85" s="192">
        <f t="shared" si="48"/>
        <v>3.2248895136858247E-27</v>
      </c>
      <c r="O85" s="192">
        <f t="shared" si="67"/>
        <v>0.99999999999999989</v>
      </c>
      <c r="Q85" s="79">
        <f t="shared" si="49"/>
        <v>3.2248895136858247E-27</v>
      </c>
      <c r="R85" s="49">
        <f t="shared" si="50"/>
        <v>0</v>
      </c>
      <c r="S85" s="49">
        <f t="shared" si="68"/>
        <v>0</v>
      </c>
      <c r="U85" s="51">
        <f t="shared" si="51"/>
        <v>2.1347939057232685E-40</v>
      </c>
      <c r="V85" s="49">
        <f t="shared" si="52"/>
        <v>0</v>
      </c>
      <c r="W85" s="51">
        <f t="shared" si="53"/>
        <v>0</v>
      </c>
      <c r="Y85" s="79">
        <f t="shared" si="54"/>
        <v>1.2216806548488584E-49</v>
      </c>
      <c r="Z85" s="49">
        <f t="shared" si="55"/>
        <v>0</v>
      </c>
      <c r="AA85" s="49">
        <f t="shared" si="56"/>
        <v>0</v>
      </c>
      <c r="AC85" s="79">
        <f t="shared" si="57"/>
        <v>1.030112292630374E-56</v>
      </c>
      <c r="AD85" s="49" cm="1">
        <f t="array" ref="AD85">IF($M85&lt;clplus3,((gamma)^$M85)/(FACT($M85)),0)</f>
        <v>0</v>
      </c>
      <c r="AE85" s="49" cm="1">
        <f t="array" ref="AE85">IF($M85&lt;clplus3,(((clplus3-1)/clplus3)*AC85),0)</f>
        <v>0</v>
      </c>
      <c r="AG85" s="79">
        <f t="shared" si="58"/>
        <v>2.0505689280326464E-62</v>
      </c>
      <c r="AH85" s="49">
        <f t="shared" si="59"/>
        <v>0</v>
      </c>
      <c r="AI85" s="49">
        <f t="shared" si="60"/>
        <v>0</v>
      </c>
      <c r="AK85" s="79">
        <f t="shared" si="61"/>
        <v>3.6195645844492461E-67</v>
      </c>
      <c r="AL85" s="49">
        <f t="shared" si="62"/>
        <v>0</v>
      </c>
      <c r="AM85" s="49">
        <f t="shared" si="63"/>
        <v>0</v>
      </c>
      <c r="AO85" s="79">
        <f t="shared" si="64"/>
        <v>3.156606284096868E-71</v>
      </c>
      <c r="AP85" s="49">
        <f t="shared" si="65"/>
        <v>0</v>
      </c>
      <c r="AQ85" s="49">
        <f t="shared" si="66"/>
        <v>0</v>
      </c>
    </row>
    <row r="86" spans="4:43" s="49" customFormat="1" ht="10.5" customHeight="1" x14ac:dyDescent="0.2">
      <c r="D86" s="82"/>
      <c r="J86" s="50"/>
      <c r="K86" s="51"/>
      <c r="M86" s="75">
        <v>78</v>
      </c>
      <c r="N86" s="192">
        <f t="shared" si="48"/>
        <v>1.4658588698571931E-27</v>
      </c>
      <c r="O86" s="192">
        <f t="shared" si="67"/>
        <v>0.99999999999999989</v>
      </c>
      <c r="Q86" s="79">
        <f t="shared" si="49"/>
        <v>1.4658588698571931E-27</v>
      </c>
      <c r="R86" s="49">
        <f t="shared" si="50"/>
        <v>0</v>
      </c>
      <c r="S86" s="49">
        <f t="shared" si="68"/>
        <v>0</v>
      </c>
      <c r="U86" s="51">
        <f t="shared" si="51"/>
        <v>6.4690724415856624E-41</v>
      </c>
      <c r="V86" s="49">
        <f t="shared" si="52"/>
        <v>0</v>
      </c>
      <c r="W86" s="51">
        <f t="shared" si="53"/>
        <v>0</v>
      </c>
      <c r="Y86" s="79">
        <f t="shared" si="54"/>
        <v>2.7765469428383144E-50</v>
      </c>
      <c r="Z86" s="49">
        <f t="shared" si="55"/>
        <v>0</v>
      </c>
      <c r="AA86" s="49">
        <f t="shared" si="56"/>
        <v>0</v>
      </c>
      <c r="AC86" s="79">
        <f t="shared" si="57"/>
        <v>1.8729314411461345E-57</v>
      </c>
      <c r="AD86" s="49" cm="1">
        <f t="array" ref="AD86">IF($M86&lt;clplus3,((gamma)^$M86)/(FACT($M86)),0)</f>
        <v>0</v>
      </c>
      <c r="AE86" s="49" cm="1">
        <f t="array" ref="AE86">IF($M86&lt;clplus3,(((clplus3-1)/clplus3)*AC86),0)</f>
        <v>0</v>
      </c>
      <c r="AG86" s="79">
        <f t="shared" si="58"/>
        <v>3.1069226182312826E-63</v>
      </c>
      <c r="AH86" s="49">
        <f t="shared" si="59"/>
        <v>0</v>
      </c>
      <c r="AI86" s="49">
        <f t="shared" si="60"/>
        <v>0</v>
      </c>
      <c r="AK86" s="79">
        <f t="shared" si="61"/>
        <v>4.7007332265574623E-68</v>
      </c>
      <c r="AL86" s="49">
        <f t="shared" si="62"/>
        <v>0</v>
      </c>
      <c r="AM86" s="49">
        <f t="shared" si="63"/>
        <v>0</v>
      </c>
      <c r="AO86" s="79">
        <f t="shared" si="64"/>
        <v>3.5870525955646224E-72</v>
      </c>
      <c r="AP86" s="49">
        <f t="shared" si="65"/>
        <v>0</v>
      </c>
      <c r="AQ86" s="49">
        <f t="shared" si="66"/>
        <v>0</v>
      </c>
    </row>
    <row r="87" spans="4:43" s="49" customFormat="1" ht="10.5" customHeight="1" x14ac:dyDescent="0.2">
      <c r="D87" s="82"/>
      <c r="J87" s="50"/>
      <c r="K87" s="51"/>
      <c r="M87" s="75">
        <v>79</v>
      </c>
      <c r="N87" s="192">
        <f t="shared" si="48"/>
        <v>6.6629948629872409E-28</v>
      </c>
      <c r="O87" s="192">
        <f t="shared" si="67"/>
        <v>0.99999999999999989</v>
      </c>
      <c r="Q87" s="79">
        <f t="shared" si="49"/>
        <v>6.6629948629872409E-28</v>
      </c>
      <c r="R87" s="49">
        <f t="shared" si="50"/>
        <v>0</v>
      </c>
      <c r="S87" s="49">
        <f t="shared" si="68"/>
        <v>0</v>
      </c>
      <c r="U87" s="51">
        <f t="shared" si="51"/>
        <v>1.9603249822986857E-41</v>
      </c>
      <c r="V87" s="49">
        <f t="shared" si="52"/>
        <v>0</v>
      </c>
      <c r="W87" s="51">
        <f t="shared" si="53"/>
        <v>0</v>
      </c>
      <c r="Y87" s="79">
        <f t="shared" si="54"/>
        <v>6.3103339609961695E-51</v>
      </c>
      <c r="Z87" s="49">
        <f t="shared" si="55"/>
        <v>0</v>
      </c>
      <c r="AA87" s="49">
        <f t="shared" si="56"/>
        <v>0</v>
      </c>
      <c r="AC87" s="79">
        <f t="shared" si="57"/>
        <v>3.4053298929929722E-58</v>
      </c>
      <c r="AD87" s="49" cm="1">
        <f t="array" ref="AD87">IF($M87&lt;clplus3,((gamma)^$M87)/(FACT($M87)),0)</f>
        <v>0</v>
      </c>
      <c r="AE87" s="49" cm="1">
        <f t="array" ref="AE87">IF($M87&lt;clplus3,(((clplus3-1)/clplus3)*AC87),0)</f>
        <v>0</v>
      </c>
      <c r="AG87" s="79">
        <f t="shared" si="58"/>
        <v>4.7074585124716402E-64</v>
      </c>
      <c r="AH87" s="49">
        <f t="shared" si="59"/>
        <v>0</v>
      </c>
      <c r="AI87" s="49">
        <f t="shared" si="60"/>
        <v>0</v>
      </c>
      <c r="AK87" s="79">
        <f t="shared" si="61"/>
        <v>6.1048483461785223E-69</v>
      </c>
      <c r="AL87" s="49">
        <f t="shared" si="62"/>
        <v>0</v>
      </c>
      <c r="AM87" s="49">
        <f t="shared" si="63"/>
        <v>0</v>
      </c>
      <c r="AO87" s="79">
        <f t="shared" si="64"/>
        <v>4.0761961313234346E-73</v>
      </c>
      <c r="AP87" s="49">
        <f t="shared" si="65"/>
        <v>0</v>
      </c>
      <c r="AQ87" s="49">
        <f t="shared" si="66"/>
        <v>0</v>
      </c>
    </row>
    <row r="88" spans="4:43" s="49" customFormat="1" ht="10.5" customHeight="1" x14ac:dyDescent="0.2">
      <c r="D88" s="82"/>
      <c r="J88" s="50"/>
      <c r="K88" s="51"/>
      <c r="M88" s="75">
        <v>80</v>
      </c>
      <c r="N88" s="192">
        <f t="shared" si="48"/>
        <v>3.0286340286305641E-28</v>
      </c>
      <c r="O88" s="192">
        <f t="shared" si="67"/>
        <v>0.99999999999999989</v>
      </c>
      <c r="Q88" s="79">
        <f t="shared" si="49"/>
        <v>3.0286340286305641E-28</v>
      </c>
      <c r="R88" s="49">
        <f t="shared" si="50"/>
        <v>0</v>
      </c>
      <c r="S88" s="49">
        <f t="shared" si="68"/>
        <v>0</v>
      </c>
      <c r="U88" s="51">
        <f t="shared" si="51"/>
        <v>5.9403787342384416E-42</v>
      </c>
      <c r="V88" s="49">
        <f t="shared" si="52"/>
        <v>0</v>
      </c>
      <c r="W88" s="51">
        <f t="shared" si="53"/>
        <v>0</v>
      </c>
      <c r="Y88" s="79">
        <f t="shared" si="54"/>
        <v>1.4341668093173112E-51</v>
      </c>
      <c r="Z88" s="49">
        <f t="shared" si="55"/>
        <v>0</v>
      </c>
      <c r="AA88" s="49">
        <f t="shared" si="56"/>
        <v>0</v>
      </c>
      <c r="AC88" s="79">
        <f t="shared" si="57"/>
        <v>6.1915088963508588E-59</v>
      </c>
      <c r="AD88" s="49" cm="1">
        <f t="array" ref="AD88">IF($M88&lt;clplus3,((gamma)^$M88)/(FACT($M88)),0)</f>
        <v>0</v>
      </c>
      <c r="AE88" s="49" cm="1">
        <f t="array" ref="AE88">IF($M88&lt;clplus3,(((clplus3-1)/clplus3)*AC88),0)</f>
        <v>0</v>
      </c>
      <c r="AG88" s="79">
        <f t="shared" si="58"/>
        <v>7.1325128976843038E-65</v>
      </c>
      <c r="AH88" s="49">
        <f t="shared" si="59"/>
        <v>0</v>
      </c>
      <c r="AI88" s="49">
        <f t="shared" si="60"/>
        <v>0</v>
      </c>
      <c r="AK88" s="79">
        <f t="shared" si="61"/>
        <v>7.9283744755565211E-70</v>
      </c>
      <c r="AL88" s="49">
        <f t="shared" si="62"/>
        <v>0</v>
      </c>
      <c r="AM88" s="49">
        <f t="shared" si="63"/>
        <v>0</v>
      </c>
      <c r="AO88" s="79">
        <f t="shared" si="64"/>
        <v>4.6320410583220845E-74</v>
      </c>
      <c r="AP88" s="49">
        <f t="shared" si="65"/>
        <v>0</v>
      </c>
      <c r="AQ88" s="49">
        <f t="shared" si="66"/>
        <v>0</v>
      </c>
    </row>
    <row r="89" spans="4:43" s="49" customFormat="1" ht="10.5" customHeight="1" x14ac:dyDescent="0.2">
      <c r="D89" s="82"/>
      <c r="J89" s="50"/>
      <c r="K89" s="51"/>
      <c r="M89" s="75">
        <v>81</v>
      </c>
      <c r="N89" s="192">
        <f t="shared" si="48"/>
        <v>1.3766518311957109E-28</v>
      </c>
      <c r="O89" s="192">
        <f t="shared" si="67"/>
        <v>0.99999999999999989</v>
      </c>
      <c r="Q89" s="79">
        <f t="shared" si="49"/>
        <v>1.3766518311957109E-28</v>
      </c>
      <c r="R89" s="49">
        <f t="shared" si="50"/>
        <v>0</v>
      </c>
      <c r="S89" s="49">
        <f t="shared" si="68"/>
        <v>0</v>
      </c>
      <c r="U89" s="51">
        <f t="shared" si="51"/>
        <v>1.800114767951043E-42</v>
      </c>
      <c r="V89" s="49">
        <f t="shared" si="52"/>
        <v>0</v>
      </c>
      <c r="W89" s="51">
        <f t="shared" si="53"/>
        <v>0</v>
      </c>
      <c r="Y89" s="79">
        <f t="shared" si="54"/>
        <v>3.2594700211757071E-52</v>
      </c>
      <c r="Z89" s="49">
        <f t="shared" si="55"/>
        <v>0</v>
      </c>
      <c r="AA89" s="49">
        <f t="shared" si="56"/>
        <v>0</v>
      </c>
      <c r="AC89" s="79">
        <f t="shared" si="57"/>
        <v>1.1257288902456107E-59</v>
      </c>
      <c r="AD89" s="49" cm="1">
        <f t="array" ref="AD89">IF($M89&lt;clplus3,((gamma)^$M89)/(FACT($M89)),0)</f>
        <v>0</v>
      </c>
      <c r="AE89" s="49" cm="1">
        <f t="array" ref="AE89">IF($M89&lt;clplus3,(((clplus3-1)/clplus3)*AC89),0)</f>
        <v>0</v>
      </c>
      <c r="AG89" s="79">
        <f t="shared" si="58"/>
        <v>1.0806837723764097E-65</v>
      </c>
      <c r="AH89" s="49">
        <f t="shared" si="59"/>
        <v>0</v>
      </c>
      <c r="AI89" s="49">
        <f t="shared" si="60"/>
        <v>0</v>
      </c>
      <c r="AK89" s="79">
        <f t="shared" si="61"/>
        <v>1.029659022799548E-70</v>
      </c>
      <c r="AL89" s="49">
        <f t="shared" si="62"/>
        <v>0</v>
      </c>
      <c r="AM89" s="49">
        <f t="shared" si="63"/>
        <v>0</v>
      </c>
      <c r="AO89" s="79">
        <f t="shared" si="64"/>
        <v>5.2636830208205499E-75</v>
      </c>
      <c r="AP89" s="49">
        <f t="shared" si="65"/>
        <v>0</v>
      </c>
      <c r="AQ89" s="49">
        <f t="shared" si="66"/>
        <v>0</v>
      </c>
    </row>
    <row r="90" spans="4:43" s="49" customFormat="1" ht="10.5" customHeight="1" x14ac:dyDescent="0.2">
      <c r="D90" s="82"/>
      <c r="J90" s="50"/>
      <c r="K90" s="51"/>
      <c r="M90" s="75">
        <v>82</v>
      </c>
      <c r="N90" s="192">
        <f t="shared" si="48"/>
        <v>6.2575083236168679E-29</v>
      </c>
      <c r="O90" s="192">
        <f t="shared" si="67"/>
        <v>0.99999999999999989</v>
      </c>
      <c r="Q90" s="79">
        <f t="shared" si="49"/>
        <v>6.2575083236168679E-29</v>
      </c>
      <c r="R90" s="49">
        <f t="shared" si="50"/>
        <v>0</v>
      </c>
      <c r="S90" s="49">
        <f t="shared" si="68"/>
        <v>0</v>
      </c>
      <c r="U90" s="51">
        <f t="shared" si="51"/>
        <v>5.4548932362152822E-43</v>
      </c>
      <c r="V90" s="49">
        <f t="shared" si="52"/>
        <v>0</v>
      </c>
      <c r="W90" s="51">
        <f t="shared" si="53"/>
        <v>0</v>
      </c>
      <c r="Y90" s="79">
        <f t="shared" si="54"/>
        <v>7.4078864117629702E-53</v>
      </c>
      <c r="Z90" s="49">
        <f t="shared" si="55"/>
        <v>0</v>
      </c>
      <c r="AA90" s="49">
        <f t="shared" si="56"/>
        <v>0</v>
      </c>
      <c r="AC90" s="79">
        <f t="shared" si="57"/>
        <v>2.0467798004465648E-60</v>
      </c>
      <c r="AD90" s="49" cm="1">
        <f t="array" ref="AD90">IF($M90&lt;clplus3,((gamma)^$M90)/(FACT($M90)),0)</f>
        <v>0</v>
      </c>
      <c r="AE90" s="49" cm="1">
        <f t="array" ref="AE90">IF($M90&lt;clplus3,(((clplus3-1)/clplus3)*AC90),0)</f>
        <v>0</v>
      </c>
      <c r="AG90" s="79">
        <f t="shared" si="58"/>
        <v>1.6373996551157724E-66</v>
      </c>
      <c r="AH90" s="49">
        <f t="shared" si="59"/>
        <v>0</v>
      </c>
      <c r="AI90" s="49">
        <f t="shared" si="60"/>
        <v>0</v>
      </c>
      <c r="AK90" s="79">
        <f t="shared" si="61"/>
        <v>1.337219510129283E-71</v>
      </c>
      <c r="AL90" s="49">
        <f t="shared" si="62"/>
        <v>0</v>
      </c>
      <c r="AM90" s="49">
        <f t="shared" si="63"/>
        <v>0</v>
      </c>
      <c r="AO90" s="79">
        <f t="shared" si="64"/>
        <v>5.9814579782051702E-76</v>
      </c>
      <c r="AP90" s="49">
        <f t="shared" si="65"/>
        <v>0</v>
      </c>
      <c r="AQ90" s="49">
        <f t="shared" si="66"/>
        <v>0</v>
      </c>
    </row>
    <row r="91" spans="4:43" s="49" customFormat="1" ht="10.5" customHeight="1" x14ac:dyDescent="0.2">
      <c r="D91" s="82"/>
      <c r="J91" s="50"/>
      <c r="K91" s="51"/>
      <c r="M91" s="75">
        <v>83</v>
      </c>
      <c r="N91" s="192">
        <f t="shared" si="48"/>
        <v>2.8443219652803942E-29</v>
      </c>
      <c r="O91" s="192">
        <f t="shared" si="67"/>
        <v>0.99999999999999989</v>
      </c>
      <c r="Q91" s="79">
        <f t="shared" si="49"/>
        <v>2.8443219652803942E-29</v>
      </c>
      <c r="R91" s="49">
        <f t="shared" si="50"/>
        <v>0</v>
      </c>
      <c r="S91" s="49">
        <f t="shared" si="68"/>
        <v>0</v>
      </c>
      <c r="U91" s="51">
        <f t="shared" si="51"/>
        <v>1.6529979503682674E-43</v>
      </c>
      <c r="V91" s="49">
        <f t="shared" si="52"/>
        <v>0</v>
      </c>
      <c r="W91" s="51">
        <f t="shared" si="53"/>
        <v>0</v>
      </c>
      <c r="Y91" s="79">
        <f t="shared" si="54"/>
        <v>1.6836105481279477E-53</v>
      </c>
      <c r="Z91" s="49">
        <f t="shared" si="55"/>
        <v>0</v>
      </c>
      <c r="AA91" s="49">
        <f t="shared" si="56"/>
        <v>0</v>
      </c>
      <c r="AC91" s="79">
        <f t="shared" si="57"/>
        <v>3.7214178189937546E-61</v>
      </c>
      <c r="AD91" s="49" cm="1">
        <f t="array" ref="AD91">IF($M91&lt;clplus3,((gamma)^$M91)/(FACT($M91)),0)</f>
        <v>0</v>
      </c>
      <c r="AE91" s="49" cm="1">
        <f t="array" ref="AE91">IF($M91&lt;clplus3,(((clplus3-1)/clplus3)*AC91),0)</f>
        <v>0</v>
      </c>
      <c r="AG91" s="79">
        <f t="shared" si="58"/>
        <v>2.4809085683572312E-67</v>
      </c>
      <c r="AH91" s="49">
        <f t="shared" si="59"/>
        <v>0</v>
      </c>
      <c r="AI91" s="49">
        <f t="shared" si="60"/>
        <v>0</v>
      </c>
      <c r="AK91" s="79">
        <f t="shared" si="61"/>
        <v>1.736648714453614E-72</v>
      </c>
      <c r="AL91" s="49">
        <f t="shared" si="62"/>
        <v>0</v>
      </c>
      <c r="AM91" s="49">
        <f t="shared" si="63"/>
        <v>0</v>
      </c>
      <c r="AO91" s="79">
        <f t="shared" si="64"/>
        <v>6.7971113388695113E-77</v>
      </c>
      <c r="AP91" s="49">
        <f t="shared" si="65"/>
        <v>0</v>
      </c>
      <c r="AQ91" s="49">
        <f t="shared" si="66"/>
        <v>0</v>
      </c>
    </row>
    <row r="92" spans="4:43" s="49" customFormat="1" ht="10.5" customHeight="1" x14ac:dyDescent="0.2">
      <c r="D92" s="82"/>
      <c r="J92" s="50"/>
      <c r="K92" s="51"/>
      <c r="M92" s="75">
        <v>84</v>
      </c>
      <c r="N92" s="192">
        <f t="shared" si="48"/>
        <v>1.2928736205819974E-29</v>
      </c>
      <c r="O92" s="192">
        <f t="shared" si="67"/>
        <v>0.99999999999999989</v>
      </c>
      <c r="Q92" s="79">
        <f t="shared" si="49"/>
        <v>1.2928736205819974E-29</v>
      </c>
      <c r="R92" s="49">
        <f t="shared" si="50"/>
        <v>0</v>
      </c>
      <c r="S92" s="49">
        <f t="shared" si="68"/>
        <v>0</v>
      </c>
      <c r="U92" s="51">
        <f t="shared" si="51"/>
        <v>5.0090846980856587E-44</v>
      </c>
      <c r="V92" s="49">
        <f t="shared" si="52"/>
        <v>0</v>
      </c>
      <c r="W92" s="51">
        <f t="shared" si="53"/>
        <v>0</v>
      </c>
      <c r="Y92" s="79">
        <f t="shared" si="54"/>
        <v>3.826387609381699E-54</v>
      </c>
      <c r="Z92" s="49">
        <f t="shared" si="55"/>
        <v>0</v>
      </c>
      <c r="AA92" s="49">
        <f t="shared" si="56"/>
        <v>0</v>
      </c>
      <c r="AC92" s="79">
        <f t="shared" si="57"/>
        <v>6.7662142163522811E-62</v>
      </c>
      <c r="AD92" s="49" cm="1">
        <f t="array" ref="AD92">IF($M92&lt;clplus3,((gamma)^$M92)/(FACT($M92)),0)</f>
        <v>0</v>
      </c>
      <c r="AE92" s="49" cm="1">
        <f t="array" ref="AE92">IF($M92&lt;clplus3,(((clplus3-1)/clplus3)*AC92),0)</f>
        <v>0</v>
      </c>
      <c r="AG92" s="79">
        <f t="shared" si="58"/>
        <v>3.758952376298835E-68</v>
      </c>
      <c r="AH92" s="49">
        <f t="shared" si="59"/>
        <v>0</v>
      </c>
      <c r="AI92" s="49">
        <f t="shared" si="60"/>
        <v>0</v>
      </c>
      <c r="AK92" s="79">
        <f t="shared" si="61"/>
        <v>2.2553879408488491E-73</v>
      </c>
      <c r="AL92" s="49">
        <f t="shared" si="62"/>
        <v>0</v>
      </c>
      <c r="AM92" s="49">
        <f t="shared" si="63"/>
        <v>0</v>
      </c>
      <c r="AO92" s="79">
        <f t="shared" si="64"/>
        <v>7.7239901578062628E-78</v>
      </c>
      <c r="AP92" s="49">
        <f t="shared" si="65"/>
        <v>0</v>
      </c>
      <c r="AQ92" s="49">
        <f t="shared" si="66"/>
        <v>0</v>
      </c>
    </row>
    <row r="93" spans="4:43" s="49" customFormat="1" ht="10.5" customHeight="1" x14ac:dyDescent="0.2">
      <c r="D93" s="82"/>
      <c r="J93" s="50"/>
      <c r="K93" s="51"/>
      <c r="M93" s="75">
        <v>85</v>
      </c>
      <c r="N93" s="192">
        <f t="shared" si="48"/>
        <v>5.8766982753727156E-30</v>
      </c>
      <c r="O93" s="192">
        <f t="shared" si="67"/>
        <v>0.99999999999999989</v>
      </c>
      <c r="Q93" s="79">
        <f t="shared" si="49"/>
        <v>5.8766982753727156E-30</v>
      </c>
      <c r="R93" s="49">
        <f t="shared" si="50"/>
        <v>0</v>
      </c>
      <c r="S93" s="49">
        <f t="shared" si="68"/>
        <v>0</v>
      </c>
      <c r="U93" s="51">
        <f t="shared" si="51"/>
        <v>1.5179044539653512E-44</v>
      </c>
      <c r="V93" s="49">
        <f t="shared" si="52"/>
        <v>0</v>
      </c>
      <c r="W93" s="51">
        <f t="shared" si="53"/>
        <v>0</v>
      </c>
      <c r="Y93" s="79">
        <f t="shared" si="54"/>
        <v>8.6963354758674975E-55</v>
      </c>
      <c r="Z93" s="49">
        <f t="shared" si="55"/>
        <v>0</v>
      </c>
      <c r="AA93" s="49">
        <f t="shared" si="56"/>
        <v>0</v>
      </c>
      <c r="AC93" s="79">
        <f t="shared" si="57"/>
        <v>1.2302207666095057E-62</v>
      </c>
      <c r="AD93" s="49" cm="1">
        <f t="array" ref="AD93">IF($M93&lt;clplus3,((gamma)^$M93)/(FACT($M93)),0)</f>
        <v>0</v>
      </c>
      <c r="AE93" s="49" cm="1">
        <f t="array" ref="AE93">IF($M93&lt;clplus3,(((clplus3-1)/clplus3)*AC93),0)</f>
        <v>0</v>
      </c>
      <c r="AG93" s="79">
        <f t="shared" si="58"/>
        <v>5.6953823883315678E-69</v>
      </c>
      <c r="AH93" s="49">
        <f t="shared" si="59"/>
        <v>0</v>
      </c>
      <c r="AI93" s="49">
        <f t="shared" si="60"/>
        <v>0</v>
      </c>
      <c r="AK93" s="79">
        <f t="shared" si="61"/>
        <v>2.9290752478556478E-74</v>
      </c>
      <c r="AL93" s="49">
        <f t="shared" si="62"/>
        <v>0</v>
      </c>
      <c r="AM93" s="49">
        <f t="shared" si="63"/>
        <v>0</v>
      </c>
      <c r="AO93" s="79">
        <f t="shared" si="64"/>
        <v>8.7772615429616617E-79</v>
      </c>
      <c r="AP93" s="49">
        <f t="shared" si="65"/>
        <v>0</v>
      </c>
      <c r="AQ93" s="49">
        <f t="shared" si="66"/>
        <v>0</v>
      </c>
    </row>
    <row r="94" spans="4:43" s="49" customFormat="1" ht="10.5" customHeight="1" x14ac:dyDescent="0.2">
      <c r="D94" s="82"/>
      <c r="J94" s="50"/>
      <c r="K94" s="51"/>
      <c r="M94" s="75">
        <v>86</v>
      </c>
      <c r="N94" s="192">
        <f t="shared" si="48"/>
        <v>2.6712264888057796E-30</v>
      </c>
      <c r="O94" s="192">
        <f t="shared" si="67"/>
        <v>0.99999999999999989</v>
      </c>
      <c r="Q94" s="79">
        <f t="shared" si="49"/>
        <v>2.6712264888057796E-30</v>
      </c>
      <c r="R94" s="49">
        <f t="shared" si="50"/>
        <v>0</v>
      </c>
      <c r="S94" s="49">
        <f t="shared" si="68"/>
        <v>0</v>
      </c>
      <c r="U94" s="51">
        <f t="shared" si="51"/>
        <v>4.5997104665616702E-45</v>
      </c>
      <c r="V94" s="49">
        <f t="shared" si="52"/>
        <v>0</v>
      </c>
      <c r="W94" s="51">
        <f t="shared" si="53"/>
        <v>0</v>
      </c>
      <c r="Y94" s="79">
        <f t="shared" si="54"/>
        <v>1.9764398808789768E-55</v>
      </c>
      <c r="Z94" s="49">
        <f t="shared" si="55"/>
        <v>0</v>
      </c>
      <c r="AA94" s="49">
        <f t="shared" si="56"/>
        <v>0</v>
      </c>
      <c r="AC94" s="79">
        <f t="shared" si="57"/>
        <v>2.2367650301991013E-63</v>
      </c>
      <c r="AD94" s="49" cm="1">
        <f t="array" ref="AD94">IF($M94&lt;clplus3,((gamma)^$M94)/(FACT($M94)),0)</f>
        <v>0</v>
      </c>
      <c r="AE94" s="49" cm="1">
        <f t="array" ref="AE94">IF($M94&lt;clplus3,(((clplus3-1)/clplus3)*AC94),0)</f>
        <v>0</v>
      </c>
      <c r="AG94" s="79">
        <f t="shared" si="58"/>
        <v>8.6293672550478308E-70</v>
      </c>
      <c r="AH94" s="49">
        <f t="shared" si="59"/>
        <v>0</v>
      </c>
      <c r="AI94" s="49">
        <f t="shared" si="60"/>
        <v>0</v>
      </c>
      <c r="AK94" s="79">
        <f t="shared" si="61"/>
        <v>3.8039938283839578E-75</v>
      </c>
      <c r="AL94" s="49">
        <f t="shared" si="62"/>
        <v>0</v>
      </c>
      <c r="AM94" s="49">
        <f t="shared" si="63"/>
        <v>0</v>
      </c>
      <c r="AO94" s="79">
        <f t="shared" si="64"/>
        <v>9.9741608442746153E-80</v>
      </c>
      <c r="AP94" s="49">
        <f t="shared" si="65"/>
        <v>0</v>
      </c>
      <c r="AQ94" s="49">
        <f t="shared" si="66"/>
        <v>0</v>
      </c>
    </row>
    <row r="95" spans="4:43" s="49" customFormat="1" ht="10.5" customHeight="1" x14ac:dyDescent="0.2">
      <c r="D95" s="82"/>
      <c r="J95" s="50"/>
      <c r="K95" s="51"/>
      <c r="M95" s="75">
        <v>87</v>
      </c>
      <c r="N95" s="192">
        <f t="shared" si="48"/>
        <v>1.2141938585480815E-30</v>
      </c>
      <c r="O95" s="192">
        <f t="shared" si="67"/>
        <v>0.99999999999999989</v>
      </c>
      <c r="Q95" s="79">
        <f t="shared" si="49"/>
        <v>1.2141938585480815E-30</v>
      </c>
      <c r="R95" s="49">
        <f t="shared" si="50"/>
        <v>0</v>
      </c>
      <c r="S95" s="49">
        <f t="shared" si="68"/>
        <v>0</v>
      </c>
      <c r="U95" s="51">
        <f t="shared" si="51"/>
        <v>1.3938516565338396E-45</v>
      </c>
      <c r="V95" s="49">
        <f t="shared" si="52"/>
        <v>0</v>
      </c>
      <c r="W95" s="51">
        <f t="shared" si="53"/>
        <v>0</v>
      </c>
      <c r="Y95" s="79">
        <f t="shared" si="54"/>
        <v>4.4919088201794927E-56</v>
      </c>
      <c r="Z95" s="49">
        <f t="shared" si="55"/>
        <v>0</v>
      </c>
      <c r="AA95" s="49">
        <f t="shared" si="56"/>
        <v>0</v>
      </c>
      <c r="AC95" s="79">
        <f t="shared" si="57"/>
        <v>4.0668455094529114E-64</v>
      </c>
      <c r="AD95" s="49" cm="1">
        <f t="array" ref="AD95">IF($M95&lt;clplus3,((gamma)^$M95)/(FACT($M95)),0)</f>
        <v>0</v>
      </c>
      <c r="AE95" s="49" cm="1">
        <f t="array" ref="AE95">IF($M95&lt;clplus3,(((clplus3-1)/clplus3)*AC95),0)</f>
        <v>0</v>
      </c>
      <c r="AG95" s="79">
        <f t="shared" si="58"/>
        <v>1.3074798871284593E-70</v>
      </c>
      <c r="AH95" s="49">
        <f t="shared" si="59"/>
        <v>0</v>
      </c>
      <c r="AI95" s="49">
        <f t="shared" si="60"/>
        <v>0</v>
      </c>
      <c r="AK95" s="79">
        <f t="shared" si="61"/>
        <v>4.9402517251739708E-76</v>
      </c>
      <c r="AL95" s="49">
        <f t="shared" si="62"/>
        <v>0</v>
      </c>
      <c r="AM95" s="49">
        <f t="shared" si="63"/>
        <v>0</v>
      </c>
      <c r="AO95" s="79">
        <f t="shared" si="64"/>
        <v>1.1334273686675699E-80</v>
      </c>
      <c r="AP95" s="49">
        <f t="shared" si="65"/>
        <v>0</v>
      </c>
      <c r="AQ95" s="49">
        <f t="shared" si="66"/>
        <v>0</v>
      </c>
    </row>
    <row r="96" spans="4:43" s="49" customFormat="1" ht="10.5" customHeight="1" x14ac:dyDescent="0.2">
      <c r="D96" s="82"/>
      <c r="J96" s="50"/>
      <c r="K96" s="51"/>
      <c r="M96" s="75">
        <v>88</v>
      </c>
      <c r="N96" s="192">
        <f t="shared" si="48"/>
        <v>5.5190629934003708E-31</v>
      </c>
      <c r="O96" s="192">
        <f t="shared" si="67"/>
        <v>0.99999999999999989</v>
      </c>
      <c r="Q96" s="79">
        <f t="shared" si="49"/>
        <v>5.5190629934003708E-31</v>
      </c>
      <c r="R96" s="49">
        <f t="shared" si="50"/>
        <v>0</v>
      </c>
      <c r="S96" s="49">
        <f t="shared" si="68"/>
        <v>0</v>
      </c>
      <c r="U96" s="51">
        <f t="shared" si="51"/>
        <v>4.2237928985873926E-46</v>
      </c>
      <c r="V96" s="49">
        <f t="shared" si="52"/>
        <v>0</v>
      </c>
      <c r="W96" s="51">
        <f t="shared" si="53"/>
        <v>0</v>
      </c>
      <c r="Y96" s="79">
        <f t="shared" si="54"/>
        <v>1.020888368222612E-56</v>
      </c>
      <c r="Z96" s="49">
        <f t="shared" si="55"/>
        <v>0</v>
      </c>
      <c r="AA96" s="49">
        <f t="shared" si="56"/>
        <v>0</v>
      </c>
      <c r="AC96" s="79">
        <f t="shared" si="57"/>
        <v>7.3942645626416569E-65</v>
      </c>
      <c r="AD96" s="49" cm="1">
        <f t="array" ref="AD96">IF($M96&lt;clplus3,((gamma)^$M96)/(FACT($M96)),0)</f>
        <v>0</v>
      </c>
      <c r="AE96" s="49" cm="1">
        <f t="array" ref="AE96">IF($M96&lt;clplus3,(((clplus3-1)/clplus3)*AC96),0)</f>
        <v>0</v>
      </c>
      <c r="AG96" s="79">
        <f t="shared" si="58"/>
        <v>1.9810301320128173E-71</v>
      </c>
      <c r="AH96" s="49">
        <f t="shared" si="59"/>
        <v>0</v>
      </c>
      <c r="AI96" s="49">
        <f t="shared" si="60"/>
        <v>0</v>
      </c>
      <c r="AK96" s="79">
        <f t="shared" si="61"/>
        <v>6.4159113313947668E-77</v>
      </c>
      <c r="AL96" s="49">
        <f t="shared" si="62"/>
        <v>0</v>
      </c>
      <c r="AM96" s="49">
        <f t="shared" si="63"/>
        <v>0</v>
      </c>
      <c r="AO96" s="79">
        <f t="shared" si="64"/>
        <v>1.2879856462131476E-81</v>
      </c>
      <c r="AP96" s="49">
        <f t="shared" si="65"/>
        <v>0</v>
      </c>
      <c r="AQ96" s="49">
        <f t="shared" si="66"/>
        <v>0</v>
      </c>
    </row>
    <row r="97" spans="4:43" s="49" customFormat="1" ht="10.5" customHeight="1" x14ac:dyDescent="0.2">
      <c r="D97" s="82"/>
      <c r="J97" s="50"/>
      <c r="K97" s="51"/>
      <c r="M97" s="75">
        <v>89</v>
      </c>
      <c r="N97" s="192">
        <f t="shared" si="48"/>
        <v>2.5086649970001686E-31</v>
      </c>
      <c r="O97" s="192">
        <f t="shared" si="67"/>
        <v>0.99999999999999989</v>
      </c>
      <c r="Q97" s="79">
        <f t="shared" si="49"/>
        <v>2.5086649970001686E-31</v>
      </c>
      <c r="R97" s="49">
        <f t="shared" si="50"/>
        <v>0</v>
      </c>
      <c r="S97" s="49">
        <f t="shared" si="68"/>
        <v>0</v>
      </c>
      <c r="U97" s="51">
        <f t="shared" si="51"/>
        <v>1.2799372419961796E-46</v>
      </c>
      <c r="V97" s="49">
        <f t="shared" si="52"/>
        <v>0</v>
      </c>
      <c r="W97" s="51">
        <f t="shared" si="53"/>
        <v>0</v>
      </c>
      <c r="Y97" s="79">
        <f t="shared" si="54"/>
        <v>2.3202008368695727E-57</v>
      </c>
      <c r="Z97" s="49">
        <f t="shared" si="55"/>
        <v>0</v>
      </c>
      <c r="AA97" s="49">
        <f t="shared" si="56"/>
        <v>0</v>
      </c>
      <c r="AC97" s="79">
        <f t="shared" si="57"/>
        <v>1.3444117386621194E-65</v>
      </c>
      <c r="AD97" s="49" cm="1">
        <f t="array" ref="AD97">IF($M97&lt;clplus3,((gamma)^$M97)/(FACT($M97)),0)</f>
        <v>0</v>
      </c>
      <c r="AE97" s="49" cm="1">
        <f t="array" ref="AE97">IF($M97&lt;clplus3,(((clplus3-1)/clplus3)*AC97),0)</f>
        <v>0</v>
      </c>
      <c r="AG97" s="79">
        <f t="shared" si="58"/>
        <v>3.0015608060800264E-72</v>
      </c>
      <c r="AH97" s="49">
        <f t="shared" si="59"/>
        <v>0</v>
      </c>
      <c r="AI97" s="49">
        <f t="shared" si="60"/>
        <v>0</v>
      </c>
      <c r="AK97" s="79">
        <f t="shared" si="61"/>
        <v>8.3323523784347617E-78</v>
      </c>
      <c r="AL97" s="49">
        <f t="shared" si="62"/>
        <v>0</v>
      </c>
      <c r="AM97" s="49">
        <f t="shared" si="63"/>
        <v>0</v>
      </c>
      <c r="AO97" s="79">
        <f t="shared" si="64"/>
        <v>1.4636200525149404E-82</v>
      </c>
      <c r="AP97" s="49">
        <f t="shared" si="65"/>
        <v>0</v>
      </c>
      <c r="AQ97" s="49">
        <f t="shared" si="66"/>
        <v>0</v>
      </c>
    </row>
    <row r="98" spans="4:43" s="49" customFormat="1" ht="10.5" customHeight="1" x14ac:dyDescent="0.2">
      <c r="D98" s="82"/>
      <c r="J98" s="50"/>
      <c r="K98" s="51"/>
      <c r="M98" s="75">
        <v>90</v>
      </c>
      <c r="N98" s="192">
        <f t="shared" si="48"/>
        <v>1.140302271363713E-31</v>
      </c>
      <c r="O98" s="192">
        <f t="shared" si="67"/>
        <v>0.99999999999999989</v>
      </c>
      <c r="Q98" s="79">
        <f t="shared" si="49"/>
        <v>1.140302271363713E-31</v>
      </c>
      <c r="R98" s="49">
        <f t="shared" si="50"/>
        <v>0</v>
      </c>
      <c r="S98" s="49">
        <f t="shared" si="68"/>
        <v>0</v>
      </c>
      <c r="U98" s="51">
        <f t="shared" si="51"/>
        <v>3.8785977030187264E-47</v>
      </c>
      <c r="V98" s="49">
        <f t="shared" si="52"/>
        <v>0</v>
      </c>
      <c r="W98" s="51">
        <f t="shared" si="53"/>
        <v>0</v>
      </c>
      <c r="Y98" s="79">
        <f t="shared" si="54"/>
        <v>5.2731837201581197E-58</v>
      </c>
      <c r="Z98" s="49">
        <f t="shared" si="55"/>
        <v>0</v>
      </c>
      <c r="AA98" s="49">
        <f t="shared" si="56"/>
        <v>0</v>
      </c>
      <c r="AC98" s="79">
        <f t="shared" si="57"/>
        <v>2.4443849793856715E-66</v>
      </c>
      <c r="AD98" s="49" cm="1">
        <f t="array" ref="AD98">IF($M98&lt;clplus3,((gamma)^$M98)/(FACT($M98)),0)</f>
        <v>0</v>
      </c>
      <c r="AE98" s="49" cm="1">
        <f t="array" ref="AE98">IF($M98&lt;clplus3,(((clplus3-1)/clplus3)*AC98),0)</f>
        <v>0</v>
      </c>
      <c r="AG98" s="79">
        <f t="shared" si="58"/>
        <v>4.5478194031515551E-73</v>
      </c>
      <c r="AH98" s="49">
        <f t="shared" si="59"/>
        <v>0</v>
      </c>
      <c r="AI98" s="49">
        <f t="shared" si="60"/>
        <v>0</v>
      </c>
      <c r="AK98" s="79">
        <f t="shared" si="61"/>
        <v>1.0821236855110079E-78</v>
      </c>
      <c r="AL98" s="49">
        <f t="shared" si="62"/>
        <v>0</v>
      </c>
      <c r="AM98" s="49">
        <f t="shared" si="63"/>
        <v>0</v>
      </c>
      <c r="AO98" s="79">
        <f t="shared" si="64"/>
        <v>1.6632046051306139E-83</v>
      </c>
      <c r="AP98" s="49">
        <f t="shared" si="65"/>
        <v>0</v>
      </c>
      <c r="AQ98" s="49">
        <f t="shared" si="66"/>
        <v>0</v>
      </c>
    </row>
    <row r="99" spans="4:43" s="49" customFormat="1" ht="10.5" customHeight="1" x14ac:dyDescent="0.2">
      <c r="D99" s="82"/>
      <c r="J99" s="50"/>
      <c r="K99" s="51"/>
      <c r="M99" s="75">
        <v>91</v>
      </c>
      <c r="N99" s="192">
        <f t="shared" si="48"/>
        <v>5.1831921425623316E-32</v>
      </c>
      <c r="O99" s="192">
        <f t="shared" si="67"/>
        <v>0.99999999999999989</v>
      </c>
      <c r="Q99" s="79">
        <f t="shared" si="49"/>
        <v>5.1831921425623316E-32</v>
      </c>
      <c r="R99" s="49">
        <f t="shared" si="50"/>
        <v>0</v>
      </c>
      <c r="S99" s="49">
        <f t="shared" si="68"/>
        <v>0</v>
      </c>
      <c r="U99" s="51">
        <f t="shared" si="51"/>
        <v>1.1753326372784019E-47</v>
      </c>
      <c r="V99" s="49">
        <f t="shared" si="52"/>
        <v>0</v>
      </c>
      <c r="W99" s="51">
        <f t="shared" si="53"/>
        <v>0</v>
      </c>
      <c r="Y99" s="79">
        <f t="shared" si="54"/>
        <v>1.1984508454904817E-58</v>
      </c>
      <c r="Z99" s="49">
        <f t="shared" si="55"/>
        <v>0</v>
      </c>
      <c r="AA99" s="49">
        <f t="shared" si="56"/>
        <v>0</v>
      </c>
      <c r="AC99" s="79">
        <f t="shared" si="57"/>
        <v>4.4443363261557663E-67</v>
      </c>
      <c r="AD99" s="49" cm="1">
        <f t="array" ref="AD99">IF($M99&lt;clplus3,((gamma)^$M99)/(FACT($M99)),0)</f>
        <v>0</v>
      </c>
      <c r="AE99" s="49" cm="1">
        <f t="array" ref="AE99">IF($M99&lt;clplus3,(((clplus3-1)/clplus3)*AC99),0)</f>
        <v>0</v>
      </c>
      <c r="AG99" s="79">
        <f t="shared" si="58"/>
        <v>6.8906354593205385E-74</v>
      </c>
      <c r="AH99" s="49">
        <f t="shared" si="59"/>
        <v>0</v>
      </c>
      <c r="AI99" s="49">
        <f t="shared" si="60"/>
        <v>0</v>
      </c>
      <c r="AK99" s="79">
        <f t="shared" si="61"/>
        <v>1.4053554357285816E-79</v>
      </c>
      <c r="AL99" s="49">
        <f t="shared" si="62"/>
        <v>0</v>
      </c>
      <c r="AM99" s="49">
        <f t="shared" si="63"/>
        <v>0</v>
      </c>
      <c r="AO99" s="79">
        <f t="shared" si="64"/>
        <v>1.8900052331029702E-84</v>
      </c>
      <c r="AP99" s="49">
        <f t="shared" si="65"/>
        <v>0</v>
      </c>
      <c r="AQ99" s="49">
        <f t="shared" si="66"/>
        <v>0</v>
      </c>
    </row>
    <row r="100" spans="4:43" s="49" customFormat="1" ht="10.5" customHeight="1" x14ac:dyDescent="0.2">
      <c r="D100" s="82"/>
      <c r="J100" s="50"/>
      <c r="K100" s="51"/>
      <c r="M100" s="75">
        <v>92</v>
      </c>
      <c r="N100" s="192">
        <f t="shared" si="48"/>
        <v>2.3559964284374233E-32</v>
      </c>
      <c r="O100" s="192">
        <f t="shared" si="67"/>
        <v>0.99999999999999989</v>
      </c>
      <c r="Q100" s="79">
        <f t="shared" si="49"/>
        <v>2.3559964284374233E-32</v>
      </c>
      <c r="R100" s="49">
        <f t="shared" si="50"/>
        <v>0</v>
      </c>
      <c r="S100" s="49">
        <f t="shared" si="68"/>
        <v>0</v>
      </c>
      <c r="U100" s="51">
        <f t="shared" si="51"/>
        <v>3.561614052358794E-48</v>
      </c>
      <c r="V100" s="49">
        <f t="shared" si="52"/>
        <v>0</v>
      </c>
      <c r="W100" s="51">
        <f t="shared" si="53"/>
        <v>0</v>
      </c>
      <c r="Y100" s="79">
        <f t="shared" si="54"/>
        <v>2.7237519215692764E-59</v>
      </c>
      <c r="Z100" s="49">
        <f t="shared" si="55"/>
        <v>0</v>
      </c>
      <c r="AA100" s="49">
        <f t="shared" si="56"/>
        <v>0</v>
      </c>
      <c r="AC100" s="79">
        <f t="shared" si="57"/>
        <v>8.0806115021013933E-68</v>
      </c>
      <c r="AD100" s="49" cm="1">
        <f t="array" ref="AD100">IF($M100&lt;clplus3,((gamma)^$M100)/(FACT($M100)),0)</f>
        <v>0</v>
      </c>
      <c r="AE100" s="49" cm="1">
        <f t="array" ref="AE100">IF($M100&lt;clplus3,(((clplus3-1)/clplus3)*AC100),0)</f>
        <v>0</v>
      </c>
      <c r="AG100" s="79">
        <f t="shared" si="58"/>
        <v>1.044035675654627E-74</v>
      </c>
      <c r="AH100" s="49">
        <f t="shared" si="59"/>
        <v>0</v>
      </c>
      <c r="AI100" s="49">
        <f t="shared" si="60"/>
        <v>0</v>
      </c>
      <c r="AK100" s="79">
        <f t="shared" si="61"/>
        <v>1.8251369295176383E-80</v>
      </c>
      <c r="AL100" s="49">
        <f t="shared" si="62"/>
        <v>0</v>
      </c>
      <c r="AM100" s="49">
        <f t="shared" si="63"/>
        <v>0</v>
      </c>
      <c r="AO100" s="79">
        <f t="shared" si="64"/>
        <v>2.1477332194351933E-85</v>
      </c>
      <c r="AP100" s="49">
        <f t="shared" si="65"/>
        <v>0</v>
      </c>
      <c r="AQ100" s="49">
        <f t="shared" si="66"/>
        <v>0</v>
      </c>
    </row>
    <row r="101" spans="4:43" s="49" customFormat="1" ht="10.5" customHeight="1" x14ac:dyDescent="0.2">
      <c r="D101" s="82"/>
      <c r="J101" s="50"/>
      <c r="K101" s="51"/>
      <c r="M101" s="75">
        <v>93</v>
      </c>
      <c r="N101" s="192">
        <f t="shared" si="48"/>
        <v>1.070907467471556E-32</v>
      </c>
      <c r="O101" s="192">
        <f t="shared" si="67"/>
        <v>0.99999999999999989</v>
      </c>
      <c r="Q101" s="79">
        <f t="shared" si="49"/>
        <v>1.070907467471556E-32</v>
      </c>
      <c r="R101" s="49">
        <f t="shared" si="50"/>
        <v>0</v>
      </c>
      <c r="S101" s="49">
        <f t="shared" si="68"/>
        <v>0</v>
      </c>
      <c r="U101" s="51">
        <f t="shared" si="51"/>
        <v>1.0792769855632709E-48</v>
      </c>
      <c r="V101" s="49">
        <f t="shared" si="52"/>
        <v>0</v>
      </c>
      <c r="W101" s="51">
        <f t="shared" si="53"/>
        <v>0</v>
      </c>
      <c r="Y101" s="79">
        <f t="shared" si="54"/>
        <v>6.1903452762938102E-60</v>
      </c>
      <c r="Z101" s="49">
        <f t="shared" si="55"/>
        <v>0</v>
      </c>
      <c r="AA101" s="49">
        <f t="shared" si="56"/>
        <v>0</v>
      </c>
      <c r="AC101" s="79">
        <f t="shared" si="57"/>
        <v>1.4692020912911625E-68</v>
      </c>
      <c r="AD101" s="49" cm="1">
        <f t="array" ref="AD101">IF($M101&lt;clplus3,((gamma)^$M101)/(FACT($M101)),0)</f>
        <v>0</v>
      </c>
      <c r="AE101" s="49" cm="1">
        <f t="array" ref="AE101">IF($M101&lt;clplus3,(((clplus3-1)/clplus3)*AC101),0)</f>
        <v>0</v>
      </c>
      <c r="AG101" s="79">
        <f t="shared" si="58"/>
        <v>1.581872235840344E-75</v>
      </c>
      <c r="AH101" s="49">
        <f t="shared" si="59"/>
        <v>0</v>
      </c>
      <c r="AI101" s="49">
        <f t="shared" si="60"/>
        <v>0</v>
      </c>
      <c r="AK101" s="79">
        <f t="shared" si="61"/>
        <v>2.3703077006722575E-81</v>
      </c>
      <c r="AL101" s="49">
        <f t="shared" si="62"/>
        <v>0</v>
      </c>
      <c r="AM101" s="49">
        <f t="shared" si="63"/>
        <v>0</v>
      </c>
      <c r="AO101" s="79">
        <f t="shared" si="64"/>
        <v>2.440605931176356E-86</v>
      </c>
      <c r="AP101" s="49">
        <f t="shared" si="65"/>
        <v>0</v>
      </c>
      <c r="AQ101" s="49">
        <f t="shared" si="66"/>
        <v>0</v>
      </c>
    </row>
    <row r="102" spans="4:43" s="49" customFormat="1" ht="10.5" customHeight="1" x14ac:dyDescent="0.2">
      <c r="D102" s="82"/>
      <c r="J102" s="50"/>
      <c r="K102" s="51"/>
      <c r="M102" s="75">
        <v>94</v>
      </c>
      <c r="N102" s="192">
        <f t="shared" si="48"/>
        <v>4.8677612157797998E-33</v>
      </c>
      <c r="O102" s="192">
        <f t="shared" si="67"/>
        <v>0.99999999999999989</v>
      </c>
      <c r="Q102" s="79">
        <f t="shared" si="49"/>
        <v>4.8677612157797998E-33</v>
      </c>
      <c r="R102" s="49">
        <f t="shared" si="50"/>
        <v>0</v>
      </c>
      <c r="S102" s="49">
        <f t="shared" si="68"/>
        <v>0</v>
      </c>
      <c r="U102" s="51">
        <f t="shared" si="51"/>
        <v>3.2705363198886998E-49</v>
      </c>
      <c r="V102" s="49">
        <f t="shared" si="52"/>
        <v>0</v>
      </c>
      <c r="W102" s="51">
        <f t="shared" si="53"/>
        <v>0</v>
      </c>
      <c r="Y102" s="79">
        <f t="shared" si="54"/>
        <v>1.4068966537031386E-60</v>
      </c>
      <c r="Z102" s="49">
        <f t="shared" si="55"/>
        <v>0</v>
      </c>
      <c r="AA102" s="49">
        <f t="shared" si="56"/>
        <v>0</v>
      </c>
      <c r="AC102" s="79">
        <f t="shared" si="57"/>
        <v>2.6712765296202958E-69</v>
      </c>
      <c r="AD102" s="49" cm="1">
        <f t="array" ref="AD102">IF($M102&lt;clplus3,((gamma)^$M102)/(FACT($M102)),0)</f>
        <v>0</v>
      </c>
      <c r="AE102" s="49" cm="1">
        <f t="array" ref="AE102">IF($M102&lt;clplus3,(((clplus3-1)/clplus3)*AC102),0)</f>
        <v>0</v>
      </c>
      <c r="AG102" s="79">
        <f t="shared" si="58"/>
        <v>2.3967761149096121E-76</v>
      </c>
      <c r="AH102" s="49">
        <f t="shared" si="59"/>
        <v>0</v>
      </c>
      <c r="AI102" s="49">
        <f t="shared" si="60"/>
        <v>0</v>
      </c>
      <c r="AK102" s="79">
        <f t="shared" si="61"/>
        <v>3.0783216891847497E-82</v>
      </c>
      <c r="AL102" s="49">
        <f t="shared" si="62"/>
        <v>0</v>
      </c>
      <c r="AM102" s="49">
        <f t="shared" si="63"/>
        <v>0</v>
      </c>
      <c r="AO102" s="79">
        <f t="shared" si="64"/>
        <v>2.7734158308822225E-87</v>
      </c>
      <c r="AP102" s="49">
        <f t="shared" si="65"/>
        <v>0</v>
      </c>
      <c r="AQ102" s="49">
        <f t="shared" si="66"/>
        <v>0</v>
      </c>
    </row>
    <row r="103" spans="4:43" s="49" customFormat="1" ht="10.5" customHeight="1" x14ac:dyDescent="0.2">
      <c r="D103" s="82"/>
      <c r="J103" s="50"/>
      <c r="K103" s="51"/>
      <c r="M103" s="75">
        <v>95</v>
      </c>
      <c r="N103" s="192">
        <f t="shared" si="48"/>
        <v>2.2126187344453635E-33</v>
      </c>
      <c r="O103" s="192">
        <f t="shared" si="67"/>
        <v>0.99999999999999989</v>
      </c>
      <c r="Q103" s="79">
        <f t="shared" si="49"/>
        <v>2.2126187344453635E-33</v>
      </c>
      <c r="R103" s="49">
        <f t="shared" si="50"/>
        <v>0</v>
      </c>
      <c r="S103" s="49">
        <f t="shared" si="68"/>
        <v>0</v>
      </c>
      <c r="U103" s="51">
        <f t="shared" si="51"/>
        <v>9.9107161208748475E-50</v>
      </c>
      <c r="V103" s="49">
        <f t="shared" si="52"/>
        <v>0</v>
      </c>
      <c r="W103" s="51">
        <f t="shared" si="53"/>
        <v>0</v>
      </c>
      <c r="Y103" s="79">
        <f t="shared" si="54"/>
        <v>3.1974923947798602E-61</v>
      </c>
      <c r="Z103" s="49">
        <f t="shared" si="55"/>
        <v>0</v>
      </c>
      <c r="AA103" s="49">
        <f t="shared" si="56"/>
        <v>0</v>
      </c>
      <c r="AC103" s="79">
        <f t="shared" si="57"/>
        <v>4.8568664174914472E-70</v>
      </c>
      <c r="AD103" s="49" cm="1">
        <f t="array" ref="AD103">IF($M103&lt;clplus3,((gamma)^$M103)/(FACT($M103)),0)</f>
        <v>0</v>
      </c>
      <c r="AE103" s="49" cm="1">
        <f t="array" ref="AE103">IF($M103&lt;clplus3,(((clplus3-1)/clplus3)*AC103),0)</f>
        <v>0</v>
      </c>
      <c r="AG103" s="79">
        <f t="shared" si="58"/>
        <v>3.6314789619842608E-77</v>
      </c>
      <c r="AH103" s="49">
        <f t="shared" si="59"/>
        <v>0</v>
      </c>
      <c r="AI103" s="49">
        <f t="shared" si="60"/>
        <v>0</v>
      </c>
      <c r="AK103" s="79">
        <f t="shared" si="61"/>
        <v>3.9978203755646097E-83</v>
      </c>
      <c r="AL103" s="49">
        <f t="shared" si="62"/>
        <v>0</v>
      </c>
      <c r="AM103" s="49">
        <f t="shared" si="63"/>
        <v>0</v>
      </c>
      <c r="AO103" s="79">
        <f t="shared" si="64"/>
        <v>3.1516088987297981E-88</v>
      </c>
      <c r="AP103" s="49">
        <f t="shared" si="65"/>
        <v>0</v>
      </c>
      <c r="AQ103" s="49">
        <f t="shared" si="66"/>
        <v>0</v>
      </c>
    </row>
    <row r="104" spans="4:43" s="49" customFormat="1" ht="10.5" customHeight="1" x14ac:dyDescent="0.2">
      <c r="D104" s="82"/>
      <c r="J104" s="50"/>
      <c r="K104" s="51"/>
      <c r="M104" s="75">
        <v>96</v>
      </c>
      <c r="N104" s="192">
        <f t="shared" si="48"/>
        <v>1.0057357883842561E-33</v>
      </c>
      <c r="O104" s="192">
        <f t="shared" si="67"/>
        <v>0.99999999999999989</v>
      </c>
      <c r="Q104" s="79">
        <f t="shared" si="49"/>
        <v>1.0057357883842561E-33</v>
      </c>
      <c r="R104" s="49">
        <f t="shared" si="50"/>
        <v>0</v>
      </c>
      <c r="S104" s="49">
        <f t="shared" si="68"/>
        <v>0</v>
      </c>
      <c r="U104" s="51">
        <f t="shared" si="51"/>
        <v>3.0032473093560146E-50</v>
      </c>
      <c r="V104" s="49">
        <f t="shared" si="52"/>
        <v>0</v>
      </c>
      <c r="W104" s="51">
        <f t="shared" si="53"/>
        <v>0</v>
      </c>
      <c r="Y104" s="79">
        <f t="shared" si="54"/>
        <v>7.2670281699542274E-62</v>
      </c>
      <c r="Z104" s="49">
        <f t="shared" si="55"/>
        <v>0</v>
      </c>
      <c r="AA104" s="49">
        <f t="shared" si="56"/>
        <v>0</v>
      </c>
      <c r="AC104" s="79">
        <f t="shared" si="57"/>
        <v>8.8306662136208133E-71</v>
      </c>
      <c r="AD104" s="49" cm="1">
        <f t="array" ref="AD104">IF($M104&lt;clplus3,((gamma)^$M104)/(FACT($M104)),0)</f>
        <v>0</v>
      </c>
      <c r="AE104" s="49" cm="1">
        <f t="array" ref="AE104">IF($M104&lt;clplus3,(((clplus3-1)/clplus3)*AC104),0)</f>
        <v>0</v>
      </c>
      <c r="AG104" s="79">
        <f t="shared" si="58"/>
        <v>5.5022408514913047E-78</v>
      </c>
      <c r="AH104" s="49">
        <f t="shared" si="59"/>
        <v>0</v>
      </c>
      <c r="AI104" s="49">
        <f t="shared" si="60"/>
        <v>0</v>
      </c>
      <c r="AK104" s="79">
        <f t="shared" si="61"/>
        <v>5.1919745137202716E-84</v>
      </c>
      <c r="AL104" s="49">
        <f t="shared" si="62"/>
        <v>0</v>
      </c>
      <c r="AM104" s="49">
        <f t="shared" si="63"/>
        <v>0</v>
      </c>
      <c r="AO104" s="79">
        <f t="shared" si="64"/>
        <v>3.5813737485565886E-89</v>
      </c>
      <c r="AP104" s="49">
        <f t="shared" si="65"/>
        <v>0</v>
      </c>
      <c r="AQ104" s="49">
        <f t="shared" si="66"/>
        <v>0</v>
      </c>
    </row>
    <row r="105" spans="4:43" s="49" customFormat="1" ht="10.5" customHeight="1" x14ac:dyDescent="0.2">
      <c r="D105" s="82"/>
      <c r="J105" s="50"/>
      <c r="K105" s="51"/>
      <c r="M105" s="75">
        <v>97</v>
      </c>
      <c r="N105" s="192">
        <f t="shared" si="48"/>
        <v>4.5715263108375275E-34</v>
      </c>
      <c r="O105" s="192">
        <f t="shared" si="67"/>
        <v>0.99999999999999989</v>
      </c>
      <c r="Q105" s="79">
        <f t="shared" si="49"/>
        <v>4.5715263108375275E-34</v>
      </c>
      <c r="R105" s="49">
        <f t="shared" si="50"/>
        <v>0</v>
      </c>
      <c r="S105" s="49">
        <f t="shared" si="68"/>
        <v>0</v>
      </c>
      <c r="U105" s="51">
        <f t="shared" si="51"/>
        <v>9.1007494222909539E-51</v>
      </c>
      <c r="V105" s="49">
        <f t="shared" si="52"/>
        <v>0</v>
      </c>
      <c r="W105" s="51">
        <f t="shared" si="53"/>
        <v>0</v>
      </c>
      <c r="Y105" s="79">
        <f t="shared" si="54"/>
        <v>1.6515973113532334E-62</v>
      </c>
      <c r="Z105" s="49">
        <f t="shared" si="55"/>
        <v>0</v>
      </c>
      <c r="AA105" s="49">
        <f t="shared" si="56"/>
        <v>0</v>
      </c>
      <c r="AC105" s="79">
        <f t="shared" si="57"/>
        <v>1.6055756752037842E-71</v>
      </c>
      <c r="AD105" s="49" cm="1">
        <f t="array" ref="AD105">IF($M105&lt;clplus3,((gamma)^$M105)/(FACT($M105)),0)</f>
        <v>0</v>
      </c>
      <c r="AE105" s="49" cm="1">
        <f t="array" ref="AE105">IF($M105&lt;clplus3,(((clplus3-1)/clplus3)*AC105),0)</f>
        <v>0</v>
      </c>
      <c r="AG105" s="79">
        <f t="shared" si="58"/>
        <v>8.3367285628656131E-79</v>
      </c>
      <c r="AH105" s="49">
        <f t="shared" si="59"/>
        <v>0</v>
      </c>
      <c r="AI105" s="49">
        <f t="shared" si="60"/>
        <v>0</v>
      </c>
      <c r="AK105" s="79">
        <f t="shared" si="61"/>
        <v>6.7428240437925595E-85</v>
      </c>
      <c r="AL105" s="49">
        <f t="shared" si="62"/>
        <v>0</v>
      </c>
      <c r="AM105" s="49">
        <f t="shared" si="63"/>
        <v>0</v>
      </c>
      <c r="AO105" s="79">
        <f t="shared" si="64"/>
        <v>4.0697428960870323E-90</v>
      </c>
      <c r="AP105" s="49">
        <f t="shared" si="65"/>
        <v>0</v>
      </c>
      <c r="AQ105" s="49">
        <f t="shared" si="66"/>
        <v>0</v>
      </c>
    </row>
    <row r="106" spans="4:43" s="49" customFormat="1" ht="10.5" customHeight="1" x14ac:dyDescent="0.2">
      <c r="D106" s="82"/>
      <c r="J106" s="50"/>
      <c r="K106" s="51"/>
      <c r="M106" s="75">
        <v>98</v>
      </c>
      <c r="N106" s="192">
        <f t="shared" si="48"/>
        <v>2.0779665049261487E-34</v>
      </c>
      <c r="O106" s="192">
        <f t="shared" si="67"/>
        <v>0.99999999999999989</v>
      </c>
      <c r="Q106" s="79">
        <f t="shared" si="49"/>
        <v>2.0779665049261487E-34</v>
      </c>
      <c r="R106" s="49">
        <f t="shared" si="50"/>
        <v>0</v>
      </c>
      <c r="S106" s="49">
        <f t="shared" si="68"/>
        <v>0</v>
      </c>
      <c r="U106" s="51">
        <f t="shared" si="51"/>
        <v>2.7578028552396832E-51</v>
      </c>
      <c r="V106" s="49">
        <f t="shared" si="52"/>
        <v>0</v>
      </c>
      <c r="W106" s="51">
        <f t="shared" si="53"/>
        <v>0</v>
      </c>
      <c r="Y106" s="79">
        <f t="shared" si="54"/>
        <v>3.7536302530755302E-63</v>
      </c>
      <c r="Z106" s="49">
        <f t="shared" si="55"/>
        <v>0</v>
      </c>
      <c r="AA106" s="49">
        <f t="shared" si="56"/>
        <v>0</v>
      </c>
      <c r="AC106" s="79">
        <f t="shared" si="57"/>
        <v>2.9192285003705169E-72</v>
      </c>
      <c r="AD106" s="49" cm="1">
        <f t="array" ref="AD106">IF($M106&lt;clplus3,((gamma)^$M106)/(FACT($M106)),0)</f>
        <v>0</v>
      </c>
      <c r="AE106" s="49" cm="1">
        <f t="array" ref="AE106">IF($M106&lt;clplus3,(((clplus3-1)/clplus3)*AC106),0)</f>
        <v>0</v>
      </c>
      <c r="AG106" s="79">
        <f t="shared" si="58"/>
        <v>1.2631406913432747E-79</v>
      </c>
      <c r="AH106" s="49">
        <f t="shared" si="59"/>
        <v>0</v>
      </c>
      <c r="AI106" s="49">
        <f t="shared" si="60"/>
        <v>0</v>
      </c>
      <c r="AK106" s="79">
        <f t="shared" si="61"/>
        <v>8.7569143425877389E-86</v>
      </c>
      <c r="AL106" s="49">
        <f t="shared" si="62"/>
        <v>0</v>
      </c>
      <c r="AM106" s="49">
        <f t="shared" si="63"/>
        <v>0</v>
      </c>
      <c r="AO106" s="79">
        <f t="shared" si="64"/>
        <v>4.6247078364625363E-91</v>
      </c>
      <c r="AP106" s="49">
        <f t="shared" si="65"/>
        <v>0</v>
      </c>
      <c r="AQ106" s="49">
        <f t="shared" si="66"/>
        <v>0</v>
      </c>
    </row>
    <row r="107" spans="4:43" s="49" customFormat="1" ht="10.5" customHeight="1" x14ac:dyDescent="0.2">
      <c r="D107" s="82"/>
      <c r="J107" s="50"/>
      <c r="K107" s="51"/>
      <c r="M107" s="75">
        <v>99</v>
      </c>
      <c r="N107" s="192">
        <f t="shared" si="48"/>
        <v>9.4453022951188574E-35</v>
      </c>
      <c r="O107" s="192">
        <f t="shared" si="67"/>
        <v>0.99999999999999989</v>
      </c>
      <c r="Q107" s="79">
        <f t="shared" si="49"/>
        <v>9.4453022951188574E-35</v>
      </c>
      <c r="R107" s="49">
        <f t="shared" si="50"/>
        <v>0</v>
      </c>
      <c r="S107" s="49">
        <f t="shared" si="68"/>
        <v>0</v>
      </c>
      <c r="U107" s="51">
        <f t="shared" si="51"/>
        <v>8.3569783492111619E-52</v>
      </c>
      <c r="V107" s="49">
        <f t="shared" si="52"/>
        <v>0</v>
      </c>
      <c r="W107" s="51">
        <f t="shared" si="53"/>
        <v>0</v>
      </c>
      <c r="Y107" s="79">
        <f t="shared" si="54"/>
        <v>8.5309778478989318E-64</v>
      </c>
      <c r="Z107" s="49">
        <f t="shared" si="55"/>
        <v>0</v>
      </c>
      <c r="AA107" s="49">
        <f t="shared" si="56"/>
        <v>0</v>
      </c>
      <c r="AC107" s="79">
        <f t="shared" si="57"/>
        <v>5.3076881824918492E-73</v>
      </c>
      <c r="AD107" s="49" cm="1">
        <f t="array" ref="AD107">IF($M107&lt;clplus3,((gamma)^$M107)/(FACT($M107)),0)</f>
        <v>0</v>
      </c>
      <c r="AE107" s="49" cm="1">
        <f t="array" ref="AE107">IF($M107&lt;clplus3,(((clplus3-1)/clplus3)*AC107),0)</f>
        <v>0</v>
      </c>
      <c r="AG107" s="79">
        <f t="shared" si="58"/>
        <v>1.9138495323382952E-80</v>
      </c>
      <c r="AH107" s="49">
        <f t="shared" si="59"/>
        <v>0</v>
      </c>
      <c r="AI107" s="49">
        <f t="shared" si="60"/>
        <v>0</v>
      </c>
      <c r="AK107" s="79">
        <f t="shared" si="61"/>
        <v>1.1372616029334725E-86</v>
      </c>
      <c r="AL107" s="49">
        <f t="shared" si="62"/>
        <v>0</v>
      </c>
      <c r="AM107" s="49">
        <f t="shared" si="63"/>
        <v>0</v>
      </c>
      <c r="AO107" s="79">
        <f t="shared" si="64"/>
        <v>5.2553498141619728E-92</v>
      </c>
      <c r="AP107" s="49">
        <f t="shared" si="65"/>
        <v>0</v>
      </c>
      <c r="AQ107" s="49">
        <f t="shared" si="66"/>
        <v>0</v>
      </c>
    </row>
    <row r="108" spans="4:43" s="49" customFormat="1" ht="10.5" customHeight="1" x14ac:dyDescent="0.2">
      <c r="D108" s="82"/>
      <c r="J108" s="50"/>
      <c r="K108" s="51"/>
      <c r="M108" s="75">
        <v>100</v>
      </c>
      <c r="N108" s="192">
        <f t="shared" si="48"/>
        <v>4.293319225054026E-35</v>
      </c>
      <c r="O108" s="192">
        <f t="shared" si="67"/>
        <v>0.99999999999999989</v>
      </c>
      <c r="Q108" s="79">
        <f t="shared" si="49"/>
        <v>4.293319225054026E-35</v>
      </c>
      <c r="R108" s="49">
        <f t="shared" si="50"/>
        <v>0</v>
      </c>
      <c r="S108" s="49">
        <f t="shared" si="68"/>
        <v>0</v>
      </c>
      <c r="U108" s="51">
        <f t="shared" si="51"/>
        <v>2.5324176815791402E-52</v>
      </c>
      <c r="V108" s="49">
        <f t="shared" si="52"/>
        <v>0</v>
      </c>
      <c r="W108" s="51">
        <f t="shared" si="53"/>
        <v>0</v>
      </c>
      <c r="Y108" s="79">
        <f t="shared" si="54"/>
        <v>1.9388586017952117E-64</v>
      </c>
      <c r="Z108" s="49">
        <f t="shared" si="55"/>
        <v>0</v>
      </c>
      <c r="AA108" s="49">
        <f t="shared" si="56"/>
        <v>0</v>
      </c>
      <c r="AC108" s="79">
        <f t="shared" si="57"/>
        <v>9.6503421499851804E-74</v>
      </c>
      <c r="AD108" s="49" cm="1">
        <f t="array" ref="AD108">IF($M108&lt;clplus3,((gamma)^$M108)/(FACT($M108)),0)</f>
        <v>0</v>
      </c>
      <c r="AE108" s="49" cm="1">
        <f t="array" ref="AE108">IF($M108&lt;clplus3,(((clplus3-1)/clplus3)*AC108),0)</f>
        <v>0</v>
      </c>
      <c r="AG108" s="79">
        <f t="shared" si="58"/>
        <v>2.8997720186943867E-81</v>
      </c>
      <c r="AH108" s="49">
        <f t="shared" si="59"/>
        <v>0</v>
      </c>
      <c r="AI108" s="49">
        <f t="shared" si="60"/>
        <v>0</v>
      </c>
      <c r="AK108" s="79">
        <f t="shared" si="61"/>
        <v>1.4769631206928214E-87</v>
      </c>
      <c r="AL108" s="49">
        <f t="shared" si="62"/>
        <v>0</v>
      </c>
      <c r="AM108" s="49">
        <f t="shared" si="63"/>
        <v>0</v>
      </c>
      <c r="AO108" s="79">
        <f t="shared" si="64"/>
        <v>5.9719884251840595E-93</v>
      </c>
      <c r="AP108" s="49">
        <f t="shared" si="65"/>
        <v>0</v>
      </c>
      <c r="AQ108" s="49">
        <f t="shared" si="66"/>
        <v>0</v>
      </c>
    </row>
  </sheetData>
  <mergeCells count="16">
    <mergeCell ref="M6:O6"/>
    <mergeCell ref="A5:E6"/>
    <mergeCell ref="G29:I29"/>
    <mergeCell ref="A33:K33"/>
    <mergeCell ref="A1:O2"/>
    <mergeCell ref="G4:I4"/>
    <mergeCell ref="J6:K6"/>
    <mergeCell ref="G15:I15"/>
    <mergeCell ref="G17:I17"/>
    <mergeCell ref="H20:J20"/>
    <mergeCell ref="G8:I8"/>
    <mergeCell ref="G9:I9"/>
    <mergeCell ref="G11:I11"/>
    <mergeCell ref="G13:I13"/>
    <mergeCell ref="G18:I18"/>
    <mergeCell ref="G19:I19"/>
  </mergeCells>
  <conditionalFormatting sqref="A1:O2">
    <cfRule type="containsText" dxfId="10" priority="1" operator="containsText" text="Esta Hoja">
      <formula>NOT(ISERROR(SEARCH("Esta Hoja",A1)))</formula>
    </cfRule>
  </conditionalFormatting>
  <conditionalFormatting sqref="C35:C41">
    <cfRule type="top10" dxfId="9" priority="4" percent="1" bottom="1" rank="1"/>
  </conditionalFormatting>
  <conditionalFormatting sqref="L6">
    <cfRule type="cellIs" dxfId="8" priority="2" operator="equal">
      <formula>"no corresponde!"</formula>
    </cfRule>
  </conditionalFormatting>
  <hyperlinks>
    <hyperlink ref="G4" location="MMc!A49" display="análisis de sensibilidad" xr:uid="{698D6586-2612-466E-A007-03AF8BE3C400}"/>
    <hyperlink ref="B3" location="MMcK!A1" display="Ir a M/M/c//K" xr:uid="{50927C3C-4D84-49B8-9F1A-C24CF7127C3C}"/>
    <hyperlink ref="A3" location="DATOS!A1" display="Carga de DATOS" xr:uid="{82C0116D-7C93-4AA5-8EF4-B72EF8CB14AC}"/>
    <hyperlink ref="A44" location="MMc!A1" display="Arriba" xr:uid="{1206C08D-000E-40D9-A1F4-65972D9248C9}"/>
    <hyperlink ref="A45" location="DATOS!A1" display="Volver a &quot;DATOS&quot;" xr:uid="{53B7829C-0726-4741-9C36-F1B82BAB1AE4}"/>
    <hyperlink ref="D3" location="MMcL!A1" display="ir a M/M/c/L" xr:uid="{FE686864-DDB2-4C57-8E67-A653F0A47215}"/>
    <hyperlink ref="G3" location="'MG1'!A1" display="ir a M/G/1" xr:uid="{E274B35B-0A2C-49D9-87D4-D991B5A5F7EB}"/>
    <hyperlink ref="L3" location="Ayuda!A1" display="ayuda" xr:uid="{7F8BC567-2857-47F2-B8F3-4D6E0E5E5E77}"/>
    <hyperlink ref="N3" location="Ayuda!AT1" display="documentación" xr:uid="{BD23FACE-A0B1-4B0F-B086-7EC6B17C83FC}"/>
  </hyperlink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943FF-0F05-4276-9671-B3DA39A5C8AC}">
  <sheetPr codeName="Hoja2">
    <tabColor theme="9" tint="-0.249977111117893"/>
  </sheetPr>
  <dimension ref="A1:AY108"/>
  <sheetViews>
    <sheetView showGridLines="0" zoomScaleNormal="100" workbookViewId="0">
      <selection activeCell="A3" sqref="A3"/>
    </sheetView>
  </sheetViews>
  <sheetFormatPr baseColWidth="10" defaultRowHeight="15" x14ac:dyDescent="0.25"/>
  <cols>
    <col min="1" max="1" width="19.140625" customWidth="1"/>
    <col min="2" max="2" width="12.28515625" customWidth="1"/>
    <col min="3" max="3" width="9.140625" customWidth="1"/>
    <col min="4" max="4" width="7.85546875" style="1" customWidth="1"/>
    <col min="5" max="5" width="11.5703125" bestFit="1" customWidth="1"/>
    <col min="6" max="6" width="3.7109375" customWidth="1"/>
    <col min="7" max="8" width="11.5703125" bestFit="1" customWidth="1"/>
    <col min="9" max="9" width="9.7109375" customWidth="1"/>
    <col min="10" max="10" width="9" style="3" customWidth="1"/>
    <col min="11" max="11" width="11.7109375" style="5" customWidth="1"/>
    <col min="12" max="12" width="10.140625" customWidth="1"/>
    <col min="13" max="13" width="5.5703125" customWidth="1"/>
    <col min="14" max="15" width="11.5703125" bestFit="1" customWidth="1"/>
    <col min="16" max="16" width="12" bestFit="1" customWidth="1"/>
    <col min="17" max="17" width="8" style="6" hidden="1" customWidth="1"/>
    <col min="18" max="18" width="8.28515625" hidden="1" customWidth="1"/>
    <col min="19" max="19" width="8" hidden="1" customWidth="1"/>
    <col min="20" max="20" width="8.28515625" hidden="1" customWidth="1"/>
    <col min="21" max="22" width="8" hidden="1" customWidth="1"/>
    <col min="23" max="23" width="8.28515625" hidden="1" customWidth="1"/>
    <col min="24" max="24" width="8" hidden="1" customWidth="1"/>
    <col min="25" max="25" width="8.28515625" hidden="1" customWidth="1"/>
    <col min="26" max="27" width="8" hidden="1" customWidth="1"/>
    <col min="28" max="28" width="8.28515625" hidden="1" customWidth="1"/>
    <col min="29" max="29" width="8" hidden="1" customWidth="1"/>
    <col min="30" max="30" width="8.28515625" hidden="1" customWidth="1"/>
    <col min="31" max="32" width="8" hidden="1" customWidth="1"/>
    <col min="33" max="33" width="8.28515625" hidden="1" customWidth="1"/>
    <col min="34" max="34" width="8" hidden="1" customWidth="1"/>
    <col min="35" max="35" width="8.28515625" hidden="1" customWidth="1"/>
    <col min="36" max="37" width="8" hidden="1" customWidth="1"/>
    <col min="38" max="38" width="8.28515625" hidden="1" customWidth="1"/>
    <col min="39" max="39" width="8" hidden="1" customWidth="1"/>
    <col min="40" max="40" width="8.28515625" hidden="1" customWidth="1"/>
    <col min="41" max="42" width="8" hidden="1" customWidth="1"/>
    <col min="43" max="43" width="8.28515625" hidden="1" customWidth="1"/>
    <col min="44" max="44" width="8" hidden="1" customWidth="1"/>
    <col min="45" max="45" width="8.28515625" hidden="1" customWidth="1"/>
    <col min="46" max="47" width="8" hidden="1" customWidth="1"/>
    <col min="48" max="48" width="8.28515625" hidden="1" customWidth="1"/>
    <col min="49" max="49" width="8" hidden="1" customWidth="1"/>
    <col min="50" max="50" width="8.28515625" hidden="1" customWidth="1"/>
    <col min="51" max="51" width="8" hidden="1" customWidth="1"/>
  </cols>
  <sheetData>
    <row r="1" spans="1:51" x14ac:dyDescent="0.25">
      <c r="A1" s="381" t="str">
        <f>IF(L6="no corresponde!","Esta Hoja no corresponde al modelo ingresado","Hoja "&amp;L6&amp;" — ANALISIS DE COLAS - OPTIMIZA - VER. 20.1.1")</f>
        <v>Esta Hoja no corresponde al modelo ingresado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3"/>
      <c r="AP1">
        <v>6</v>
      </c>
    </row>
    <row r="2" spans="1:51" ht="15.75" thickBot="1" x14ac:dyDescent="0.3">
      <c r="A2" s="384"/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6"/>
    </row>
    <row r="3" spans="1:51" ht="15" customHeight="1" thickBot="1" x14ac:dyDescent="0.45">
      <c r="A3" s="246" t="s">
        <v>124</v>
      </c>
      <c r="B3" s="246" t="s">
        <v>66</v>
      </c>
      <c r="C3" s="247"/>
      <c r="D3" s="250" t="s">
        <v>130</v>
      </c>
      <c r="E3" s="247"/>
      <c r="F3" s="248"/>
      <c r="G3" s="255" t="s">
        <v>123</v>
      </c>
      <c r="H3" s="256"/>
      <c r="I3" s="257"/>
      <c r="J3" s="247"/>
      <c r="K3" s="249"/>
      <c r="L3" s="247"/>
      <c r="M3" s="250" t="s">
        <v>62</v>
      </c>
      <c r="N3" s="247"/>
      <c r="O3" s="316" t="s">
        <v>63</v>
      </c>
    </row>
    <row r="4" spans="1:51" s="49" customFormat="1" ht="15" customHeight="1" thickBot="1" x14ac:dyDescent="0.45">
      <c r="A4" s="55" t="s">
        <v>8</v>
      </c>
      <c r="B4" s="55"/>
      <c r="C4" s="55"/>
      <c r="D4" s="86"/>
      <c r="E4" s="224" t="str">
        <f>DATOS!E5</f>
        <v>hora</v>
      </c>
      <c r="G4" s="398" t="s">
        <v>61</v>
      </c>
      <c r="H4" s="399"/>
      <c r="I4" s="400"/>
      <c r="J4" s="50"/>
      <c r="K4" s="51"/>
      <c r="Q4" s="79"/>
    </row>
    <row r="5" spans="1:51" s="49" customFormat="1" ht="13.5" customHeight="1" thickBot="1" x14ac:dyDescent="0.25">
      <c r="A5" s="392" t="s">
        <v>117</v>
      </c>
      <c r="B5" s="393"/>
      <c r="C5" s="393"/>
      <c r="D5" s="393"/>
      <c r="E5" s="394"/>
      <c r="G5" s="87"/>
      <c r="J5" s="50"/>
      <c r="K5" s="51"/>
      <c r="L5" s="150" t="s">
        <v>115</v>
      </c>
      <c r="N5" s="51"/>
      <c r="P5" s="79"/>
      <c r="Q5" s="79"/>
      <c r="S5" s="51"/>
      <c r="V5" s="79"/>
      <c r="X5" s="51"/>
      <c r="AA5" s="79">
        <f>+$K$8/(clplus2*$K$9)</f>
        <v>0.22727272727272727</v>
      </c>
      <c r="AF5" s="79">
        <f>+$K$8/(clplus3*$K$9)</f>
        <v>0.18181818181818182</v>
      </c>
      <c r="AK5" s="79">
        <f>+$K$8/(clplus4*$K$9)</f>
        <v>0.15151515151515152</v>
      </c>
      <c r="AP5" s="79">
        <f>+$K$8/(clplus5*$K$9)</f>
        <v>0.12987012987012986</v>
      </c>
      <c r="AU5" s="79">
        <f>+$K$8/(clminus1*$K$9)</f>
        <v>0.11363636363636363</v>
      </c>
    </row>
    <row r="6" spans="1:51" s="49" customFormat="1" ht="16.5" customHeight="1" thickBot="1" x14ac:dyDescent="0.25">
      <c r="A6" s="395"/>
      <c r="B6" s="396"/>
      <c r="C6" s="396"/>
      <c r="D6" s="396"/>
      <c r="E6" s="397"/>
      <c r="I6" s="88" t="s">
        <v>105</v>
      </c>
      <c r="J6" s="387" t="str">
        <f>"M/M/"&amp;E8&amp;IF(E11="M","/","/"&amp;E11)&amp;IF(E12="M","","/"&amp;E12)</f>
        <v>M/M/2/</v>
      </c>
      <c r="K6" s="388"/>
      <c r="L6" s="254" t="str">
        <f>IF(DATOS!K6="MMcK",DATOS!K6,"no corresponde!")</f>
        <v>no corresponde!</v>
      </c>
      <c r="M6" s="389" t="s">
        <v>112</v>
      </c>
      <c r="N6" s="390"/>
      <c r="O6" s="391"/>
      <c r="Q6" s="89">
        <f>cl</f>
        <v>2</v>
      </c>
      <c r="V6" s="49">
        <f>cl+1</f>
        <v>3</v>
      </c>
      <c r="AA6" s="49">
        <f>cl+2</f>
        <v>4</v>
      </c>
      <c r="AF6" s="49">
        <f>cl+3</f>
        <v>5</v>
      </c>
      <c r="AK6" s="49">
        <f>cl+4</f>
        <v>6</v>
      </c>
      <c r="AP6" s="49">
        <f>cl+5</f>
        <v>7</v>
      </c>
      <c r="AU6" s="49">
        <f>cl+6</f>
        <v>8</v>
      </c>
    </row>
    <row r="7" spans="1:51" s="49" customFormat="1" ht="10.5" customHeight="1" x14ac:dyDescent="0.2">
      <c r="A7" s="90" t="s">
        <v>125</v>
      </c>
      <c r="B7" s="90"/>
      <c r="C7" s="90"/>
      <c r="D7" s="91"/>
      <c r="E7" s="82" t="s">
        <v>119</v>
      </c>
      <c r="G7" s="50" t="s">
        <v>49</v>
      </c>
      <c r="J7" s="50"/>
      <c r="K7" s="51"/>
      <c r="M7" s="149" t="s">
        <v>33</v>
      </c>
      <c r="N7" s="149" t="s">
        <v>34</v>
      </c>
      <c r="O7" s="149" t="s">
        <v>35</v>
      </c>
      <c r="Q7" s="92" t="s">
        <v>34</v>
      </c>
      <c r="R7" s="93" t="s">
        <v>57</v>
      </c>
      <c r="S7" s="93" t="s">
        <v>44</v>
      </c>
      <c r="T7" s="93" t="s">
        <v>56</v>
      </c>
      <c r="U7" s="94" t="s">
        <v>58</v>
      </c>
      <c r="V7" s="92" t="s">
        <v>34</v>
      </c>
      <c r="W7" s="93" t="s">
        <v>57</v>
      </c>
      <c r="X7" s="93" t="s">
        <v>44</v>
      </c>
      <c r="Y7" s="93" t="s">
        <v>56</v>
      </c>
      <c r="Z7" s="94" t="s">
        <v>58</v>
      </c>
      <c r="AA7" s="92" t="s">
        <v>34</v>
      </c>
      <c r="AB7" s="93" t="s">
        <v>57</v>
      </c>
      <c r="AC7" s="93" t="s">
        <v>44</v>
      </c>
      <c r="AD7" s="93" t="s">
        <v>56</v>
      </c>
      <c r="AE7" s="94" t="s">
        <v>58</v>
      </c>
      <c r="AF7" s="92" t="s">
        <v>34</v>
      </c>
      <c r="AG7" s="93" t="s">
        <v>57</v>
      </c>
      <c r="AH7" s="93" t="s">
        <v>44</v>
      </c>
      <c r="AI7" s="93" t="s">
        <v>56</v>
      </c>
      <c r="AJ7" s="94" t="s">
        <v>58</v>
      </c>
      <c r="AK7" s="92" t="s">
        <v>34</v>
      </c>
      <c r="AL7" s="93" t="s">
        <v>57</v>
      </c>
      <c r="AM7" s="93" t="s">
        <v>44</v>
      </c>
      <c r="AN7" s="93" t="s">
        <v>56</v>
      </c>
      <c r="AO7" s="94" t="s">
        <v>58</v>
      </c>
      <c r="AP7" s="92" t="s">
        <v>34</v>
      </c>
      <c r="AQ7" s="93" t="s">
        <v>57</v>
      </c>
      <c r="AR7" s="93" t="s">
        <v>44</v>
      </c>
      <c r="AS7" s="93" t="s">
        <v>56</v>
      </c>
      <c r="AT7" s="94" t="s">
        <v>58</v>
      </c>
      <c r="AU7" s="92" t="s">
        <v>34</v>
      </c>
      <c r="AV7" s="93" t="s">
        <v>57</v>
      </c>
      <c r="AW7" s="93" t="s">
        <v>44</v>
      </c>
      <c r="AX7" s="93" t="s">
        <v>56</v>
      </c>
      <c r="AY7" s="94" t="s">
        <v>58</v>
      </c>
    </row>
    <row r="8" spans="1:51" s="49" customFormat="1" ht="10.5" customHeight="1" x14ac:dyDescent="0.2">
      <c r="A8" s="76" t="s">
        <v>1</v>
      </c>
      <c r="B8" s="76"/>
      <c r="C8" s="76"/>
      <c r="D8" s="77" t="s">
        <v>2</v>
      </c>
      <c r="E8" s="105">
        <f>DATOS!E8</f>
        <v>2</v>
      </c>
      <c r="G8" s="376" t="str">
        <f>"Tasa de arribos (clientes/"&amp;E4&amp;")"</f>
        <v>Tasa de arribos (clientes/hora)</v>
      </c>
      <c r="H8" s="377"/>
      <c r="I8" s="378"/>
      <c r="J8" s="52" t="s">
        <v>17</v>
      </c>
      <c r="K8" s="95">
        <f>+lmbd</f>
        <v>60</v>
      </c>
      <c r="L8" s="53" t="str">
        <f>"cl/"&amp;E4</f>
        <v>cl/hora</v>
      </c>
      <c r="M8" s="75">
        <v>0</v>
      </c>
      <c r="N8" s="78" t="str">
        <f>IF(E12&lt;&gt;"M",Q8,"")</f>
        <v/>
      </c>
      <c r="O8" s="78" t="str">
        <f>N8</f>
        <v/>
      </c>
      <c r="Q8" s="96" t="e">
        <f>1/(SUM(R:R)+SUM(T8:T55))</f>
        <v>#VALUE!</v>
      </c>
      <c r="R8" s="79" t="e">
        <f t="shared" ref="R8:R28" si="0">IF($M8&lt;$E$8,(($K$28)^$M8)*(FACT($E$12))/(FACT($M8)*FACT($E$12-$M8)),0)</f>
        <v>#VALUE!</v>
      </c>
      <c r="S8" s="79" t="e">
        <f>Q8</f>
        <v>#VALUE!</v>
      </c>
      <c r="T8" s="79">
        <f t="shared" ref="T8:T13" si="1">IF(AND($M8&gt;=$E$8,$M8&lt;=$E$12),((($K$28^($M8))*FACT($E$12))/((FACT($E$8))*(FACT(ABS($E$12-$M8)))*($E$8^($M8-$E$8)))),0)</f>
        <v>0</v>
      </c>
      <c r="U8" s="97">
        <f t="shared" ref="U8:U39" si="2">IF(AND($M8&gt;=$E$8+1,$M8&lt;=$E$12),($M8-$E$8)*Q8,0)</f>
        <v>0</v>
      </c>
      <c r="V8" s="96" t="e">
        <f>1/(SUM(W:W)+SUM(Y:Y))</f>
        <v>#VALUE!</v>
      </c>
      <c r="W8" s="79" t="e">
        <f t="shared" ref="W8:W28" si="3">IF($M8&lt;servi1,(($K$28)^$M8)*(FACT($E$12))/(FACT($M8)*FACT($E$12-$M8)),0)</f>
        <v>#VALUE!</v>
      </c>
      <c r="X8" s="79" t="e">
        <f>V8</f>
        <v>#VALUE!</v>
      </c>
      <c r="Y8" s="79">
        <f t="shared" ref="Y8:Y28" si="4">IF(AND($M8&gt;=servi1,$M8&lt;=$E$12),((($K$28^($M8))*FACT($E$12))/((FACT(servi1))*(FACT($E$12-$M8))*(servi1^($M8-servi1)))),0)</f>
        <v>0</v>
      </c>
      <c r="Z8" s="97">
        <f t="shared" ref="Z8:Z39" si="5">IF(AND($M8&gt;=servi1+1,$M8&lt;=$E$12),($M8-servi1)*V8,0)</f>
        <v>0</v>
      </c>
      <c r="AA8" s="96" t="e">
        <f>1/(SUM(AB:AB)+SUM(AD:AD))</f>
        <v>#VALUE!</v>
      </c>
      <c r="AB8" s="79" t="e">
        <f t="shared" ref="AB8:AB28" si="6">IF($M8&lt;servi2,(($K$28)^$M8)*(FACT($E$12))/(FACT($M8)*FACT($E$12-$M8)),0)</f>
        <v>#VALUE!</v>
      </c>
      <c r="AC8" s="79" t="e">
        <f>AA8</f>
        <v>#VALUE!</v>
      </c>
      <c r="AD8" s="79">
        <f t="shared" ref="AD8:AD28" si="7">IF(AND($M8&gt;=servi2,$M8&lt;=$E$12),((($K$28^($M8))*FACT($E$12))/((FACT(servi2))*(FACT($E$12-$M8))*(servi2^($M8-servi2)))),0)</f>
        <v>0</v>
      </c>
      <c r="AE8" s="97">
        <f t="shared" ref="AE8:AE39" si="8">IF(AND($M8&gt;=servi2+1,$M8&lt;=$E$12),($M8-servi2)*AA8,0)</f>
        <v>0</v>
      </c>
      <c r="AF8" s="96" t="e">
        <f>1/(SUM(AG:AG)+SUM(AI:AI))</f>
        <v>#VALUE!</v>
      </c>
      <c r="AG8" s="79" t="e">
        <f t="shared" ref="AG8:AG28" si="9">IF($M8&lt;servi3,(($K$28)^$M8)*(FACT($E$12))/(FACT($M8)*FACT($E$12-$M8)),0)</f>
        <v>#VALUE!</v>
      </c>
      <c r="AH8" s="79" t="e">
        <f>AF8</f>
        <v>#VALUE!</v>
      </c>
      <c r="AI8" s="79">
        <f t="shared" ref="AI8:AI28" si="10">IF(AND($M8&gt;=servi3,$M8&lt;=$E$12),((($K$28^($M8))*FACT($E$12))/((FACT(servi3))*(FACT($E$12-$M8))*(servi3^($M8-servi3)))),0)</f>
        <v>0</v>
      </c>
      <c r="AJ8" s="97">
        <f t="shared" ref="AJ8:AJ39" si="11">IF(AND($M8&gt;=servi3+1,$M8&lt;=$E$12),($M8-servi3)*AF8,0)</f>
        <v>0</v>
      </c>
      <c r="AK8" s="96" t="e">
        <f>1/(SUM(AL:AL)+SUM(AN:AN))</f>
        <v>#VALUE!</v>
      </c>
      <c r="AL8" s="79" t="e">
        <f t="shared" ref="AL8:AL28" si="12">IF($M8&lt;servi4,(($K$28)^$M8)*(FACT($E$12))/(FACT($M8)*FACT($E$12-$M8)),0)</f>
        <v>#VALUE!</v>
      </c>
      <c r="AM8" s="79" t="e">
        <f>AK8</f>
        <v>#VALUE!</v>
      </c>
      <c r="AN8" s="79">
        <f t="shared" ref="AN8:AN39" si="13">IF(AND($M8&gt;=servi4,$M8&lt;=$E$12),((($K$28^($M8))*FACT($E$12))/((FACT(servi4))*(FACT($E$12-$M8))*(servi4^($M8-servi4)))),0)</f>
        <v>0</v>
      </c>
      <c r="AO8" s="97">
        <f t="shared" ref="AO8:AO39" si="14">IF(AND($M8&gt;=servi4+1,$M8&lt;=$E$12),($M8-servi4)*AK8,0)</f>
        <v>0</v>
      </c>
      <c r="AP8" s="96" t="e">
        <f>1/(SUM(AQ:AQ)+SUM(AS:AS))</f>
        <v>#VALUE!</v>
      </c>
      <c r="AQ8" s="79" t="e">
        <f t="shared" ref="AQ8:AQ27" si="15">IF($M8&lt;servi5,(($K$28)^$M8)*(FACT($E$12))/(FACT($M8)*FACT($E$12-$M8)),0)</f>
        <v>#VALUE!</v>
      </c>
      <c r="AR8" s="79" t="e">
        <f>AP8</f>
        <v>#VALUE!</v>
      </c>
      <c r="AS8" s="79">
        <f t="shared" ref="AS8:AS39" si="16">IF(AND($M8&gt;=servi5,$M8&lt;=$E$12),((($K$28^($M8))*FACT($E$12))/((FACT(servi5))*(FACT($E$12-$M8))*(servi5^($M8-servi5)))),0)</f>
        <v>0</v>
      </c>
      <c r="AT8" s="97">
        <f t="shared" ref="AT8:AT39" si="17">IF(AND($M8&gt;=servi5+1,$M8&lt;=$E$12),($M8-servi5)*AP8,0)</f>
        <v>0</v>
      </c>
      <c r="AU8" s="96" t="e">
        <f>1/(SUM(AV:AV)+SUM(AX:AX))</f>
        <v>#VALUE!</v>
      </c>
      <c r="AV8" s="79" t="e">
        <f t="shared" ref="AV8:AV27" si="18">IF($M8&lt;servi6,(($K$28)^$M8)*(FACT($E$12))/(FACT($M8)*FACT($E$12-$M8)),0)</f>
        <v>#VALUE!</v>
      </c>
      <c r="AW8" s="79" t="e">
        <f>AU8</f>
        <v>#VALUE!</v>
      </c>
      <c r="AX8" s="79">
        <f t="shared" ref="AX8:AX39" si="19">IF(AND($M8&gt;=servi6,$M8&lt;=$E$12),((($K$28^($M8))*FACT($E$12))/((FACT(servi6))*(FACT($E$12-$M8))*(servi6^($M8-servi6)))),0)</f>
        <v>0</v>
      </c>
      <c r="AY8" s="97">
        <f t="shared" ref="AY8:AY39" si="20">IF(AND($M8&gt;=servi6+1,$M8&lt;=$E$12),($M8-servi6)*AU8,0)</f>
        <v>0</v>
      </c>
    </row>
    <row r="9" spans="1:51" s="49" customFormat="1" ht="10.5" customHeight="1" x14ac:dyDescent="0.2">
      <c r="A9" s="76" t="str">
        <f>"Tasa de arribos (por "&amp;E4&amp;")"</f>
        <v>Tasa de arribos (por hora)</v>
      </c>
      <c r="B9" s="76"/>
      <c r="C9" s="76"/>
      <c r="D9" s="80" t="s">
        <v>17</v>
      </c>
      <c r="E9" s="105">
        <f>DATOS!E9</f>
        <v>60</v>
      </c>
      <c r="G9" s="367" t="str">
        <f>"Tasa de servicio (clientes/"&amp;E4&amp;")"</f>
        <v>Tasa de servicio (clientes/hora)</v>
      </c>
      <c r="H9" s="368"/>
      <c r="I9" s="369"/>
      <c r="J9" s="54" t="s">
        <v>16</v>
      </c>
      <c r="K9" s="98">
        <f>+micro</f>
        <v>66</v>
      </c>
      <c r="L9" s="55" t="str">
        <f>L8</f>
        <v>cl/hora</v>
      </c>
      <c r="M9" s="75">
        <v>1</v>
      </c>
      <c r="N9" s="78" t="str">
        <f>IF(E12&lt;&gt;"M",Q9,"")</f>
        <v/>
      </c>
      <c r="O9" s="78" t="e">
        <f>O8+N9</f>
        <v>#VALUE!</v>
      </c>
      <c r="Q9" s="96" t="e">
        <f t="shared" ref="Q9:Q28" si="21">IF(M9&lt;=$E$8,((Q8*$K$28*($E$12-$M9+1))/$M9),IF($E$8&lt;$M9,((Q8*$K$28*($E$12-$M9+1))/$E$8),0))</f>
        <v>#VALUE!</v>
      </c>
      <c r="R9" s="79" t="e">
        <f t="shared" si="0"/>
        <v>#VALUE!</v>
      </c>
      <c r="S9" s="79" t="e">
        <f t="shared" ref="S9:S40" si="22">IF($M9&lt;$E$8,($Q9*(($E$8-M9)/$E$8)),0)</f>
        <v>#VALUE!</v>
      </c>
      <c r="T9" s="79">
        <f t="shared" si="1"/>
        <v>0</v>
      </c>
      <c r="U9" s="97">
        <f t="shared" si="2"/>
        <v>0</v>
      </c>
      <c r="V9" s="96" t="e">
        <f t="shared" ref="V9:V28" si="23">IF(M9&lt;=servi1,((V8*$K$28*($E$12-$M9+1))/$M9),IF(servi1&lt;$M9,((V8*$K$28*($E$12-$M9+1))/servi1),0))</f>
        <v>#VALUE!</v>
      </c>
      <c r="W9" s="79" t="e">
        <f t="shared" si="3"/>
        <v>#VALUE!</v>
      </c>
      <c r="X9" s="79" t="e">
        <f t="shared" ref="X9:X40" si="24">IF($M9&lt;servi1,(((servi1-1)/servi1)*$Q9),0)</f>
        <v>#VALUE!</v>
      </c>
      <c r="Y9" s="79">
        <f t="shared" si="4"/>
        <v>0</v>
      </c>
      <c r="Z9" s="97">
        <f t="shared" si="5"/>
        <v>0</v>
      </c>
      <c r="AA9" s="96" t="e">
        <f t="shared" ref="AA9:AA28" si="25">IF(M9&lt;=servi2,((AA8*$K$28*($E$12-$M9+1))/$M9),IF(servi2&lt;$M9,((AA8*$K$28*($E$12-$M9+1))/servi2),0))</f>
        <v>#VALUE!</v>
      </c>
      <c r="AB9" s="79" t="e">
        <f t="shared" si="6"/>
        <v>#VALUE!</v>
      </c>
      <c r="AC9" s="79" t="e">
        <f t="shared" ref="AC9:AC40" si="26">IF($M9&lt;servi2,(((servi2-1)/servi2)*$Q9),0)</f>
        <v>#VALUE!</v>
      </c>
      <c r="AD9" s="79">
        <f t="shared" si="7"/>
        <v>0</v>
      </c>
      <c r="AE9" s="97">
        <f t="shared" si="8"/>
        <v>0</v>
      </c>
      <c r="AF9" s="96" t="e">
        <f t="shared" ref="AF9:AF28" si="27">IF(M9&lt;=servi3,((AF8*$K$28*($E$12-$M9+1))/$M9),IF(servi3&lt;$M9,((AF8*$K$28*($E$12-$M9+1))/servi3),0))</f>
        <v>#VALUE!</v>
      </c>
      <c r="AG9" s="79" t="e">
        <f t="shared" si="9"/>
        <v>#VALUE!</v>
      </c>
      <c r="AH9" s="79" t="e">
        <f t="shared" ref="AH9:AH40" si="28">IF($M9&lt;servi3,(((servi3-1)/servi3)*$Q9),0)</f>
        <v>#VALUE!</v>
      </c>
      <c r="AI9" s="79">
        <f t="shared" si="10"/>
        <v>0</v>
      </c>
      <c r="AJ9" s="97">
        <f t="shared" si="11"/>
        <v>0</v>
      </c>
      <c r="AK9" s="96" t="e">
        <f t="shared" ref="AK9:AK28" si="29">IF(M9&lt;=servi4,((AK8*$K$28*($E$12-$M9+1))/$M9),IF(servi4&lt;$M9,((AK8*$K$28*($E$12-$M9+1))/servi4),0))</f>
        <v>#VALUE!</v>
      </c>
      <c r="AL9" s="79" t="e">
        <f t="shared" si="12"/>
        <v>#VALUE!</v>
      </c>
      <c r="AM9" s="79" t="e">
        <f t="shared" ref="AM9:AM40" si="30">IF($M9&lt;servi4,(((servi4-1)/servi4)*$Q9),0)</f>
        <v>#VALUE!</v>
      </c>
      <c r="AN9" s="79">
        <f t="shared" si="13"/>
        <v>0</v>
      </c>
      <c r="AO9" s="97">
        <f t="shared" si="14"/>
        <v>0</v>
      </c>
      <c r="AP9" s="96" t="e">
        <f t="shared" ref="AP9:AP27" si="31">IF(M9&lt;=servi5,((AP8*$K$28*($E$12-$M9+1))/$M9),IF(servi5&lt;$M9,((AP8*$K$28*($E$12-$M9+1))/servi5),0))</f>
        <v>#VALUE!</v>
      </c>
      <c r="AQ9" s="79" t="e">
        <f t="shared" si="15"/>
        <v>#VALUE!</v>
      </c>
      <c r="AR9" s="79" t="e">
        <f t="shared" ref="AR9:AR40" si="32">IF($M9&lt;servi5,(((servi5-1)/servi5)*$Q9),0)</f>
        <v>#VALUE!</v>
      </c>
      <c r="AS9" s="79">
        <f t="shared" si="16"/>
        <v>0</v>
      </c>
      <c r="AT9" s="97">
        <f t="shared" si="17"/>
        <v>0</v>
      </c>
      <c r="AU9" s="96" t="e">
        <f t="shared" ref="AU9:AU27" si="33">IF(M9&lt;=servi6,((AU8*$K$28*($E$12-$M9+1))/$M9),IF(servi6&lt;$M9,((AU8*$K$28*($E$12-$M9+1))/servi6),0))</f>
        <v>#VALUE!</v>
      </c>
      <c r="AV9" s="79" t="e">
        <f t="shared" si="18"/>
        <v>#VALUE!</v>
      </c>
      <c r="AW9" s="79" t="e">
        <f t="shared" ref="AW9:AW40" si="34">IF($M9&lt;servi6,(((servi6-1)/servi6)*$Q9),0)</f>
        <v>#VALUE!</v>
      </c>
      <c r="AX9" s="79">
        <f t="shared" si="19"/>
        <v>0</v>
      </c>
      <c r="AY9" s="97">
        <f t="shared" si="20"/>
        <v>0</v>
      </c>
    </row>
    <row r="10" spans="1:51" s="49" customFormat="1" ht="10.5" customHeight="1" x14ac:dyDescent="0.2">
      <c r="A10" s="76" t="str">
        <f>"Tasa de servicio (por servidor por "&amp;E4&amp;") "</f>
        <v xml:space="preserve">Tasa de servicio (por servidor por hora) </v>
      </c>
      <c r="B10" s="76"/>
      <c r="C10" s="76"/>
      <c r="D10" s="80" t="s">
        <v>16</v>
      </c>
      <c r="E10" s="105">
        <f>DATOS!E10</f>
        <v>66</v>
      </c>
      <c r="G10" s="56" t="s">
        <v>19</v>
      </c>
      <c r="J10" s="52" t="s">
        <v>36</v>
      </c>
      <c r="K10" s="99" t="str">
        <f>IFERROR(1-(N8+SUM(S9:S108)),"Otro Modelo")</f>
        <v>Otro Modelo</v>
      </c>
      <c r="L10" s="57" t="str">
        <f>K10</f>
        <v>Otro Modelo</v>
      </c>
      <c r="M10" s="75">
        <v>2</v>
      </c>
      <c r="N10" s="78" t="str">
        <f>IF(E12&lt;&gt;"M",Q10,"")</f>
        <v/>
      </c>
      <c r="O10" s="78" t="e">
        <f t="shared" ref="O10:O73" si="35">O9+N10</f>
        <v>#VALUE!</v>
      </c>
      <c r="Q10" s="96" t="e">
        <f t="shared" si="21"/>
        <v>#VALUE!</v>
      </c>
      <c r="R10" s="79">
        <f t="shared" si="0"/>
        <v>0</v>
      </c>
      <c r="S10" s="79">
        <f t="shared" si="22"/>
        <v>0</v>
      </c>
      <c r="T10" s="79" t="e">
        <f t="shared" si="1"/>
        <v>#VALUE!</v>
      </c>
      <c r="U10" s="97">
        <f t="shared" si="2"/>
        <v>0</v>
      </c>
      <c r="V10" s="96" t="e">
        <f t="shared" si="23"/>
        <v>#VALUE!</v>
      </c>
      <c r="W10" s="79" t="e">
        <f t="shared" si="3"/>
        <v>#VALUE!</v>
      </c>
      <c r="X10" s="79" t="e">
        <f t="shared" si="24"/>
        <v>#VALUE!</v>
      </c>
      <c r="Y10" s="79">
        <f t="shared" si="4"/>
        <v>0</v>
      </c>
      <c r="Z10" s="97">
        <f t="shared" si="5"/>
        <v>0</v>
      </c>
      <c r="AA10" s="96" t="e">
        <f t="shared" si="25"/>
        <v>#VALUE!</v>
      </c>
      <c r="AB10" s="79" t="e">
        <f t="shared" si="6"/>
        <v>#VALUE!</v>
      </c>
      <c r="AC10" s="79" t="e">
        <f t="shared" si="26"/>
        <v>#VALUE!</v>
      </c>
      <c r="AD10" s="79">
        <f t="shared" si="7"/>
        <v>0</v>
      </c>
      <c r="AE10" s="97">
        <f t="shared" si="8"/>
        <v>0</v>
      </c>
      <c r="AF10" s="96" t="e">
        <f t="shared" si="27"/>
        <v>#VALUE!</v>
      </c>
      <c r="AG10" s="79" t="e">
        <f t="shared" si="9"/>
        <v>#VALUE!</v>
      </c>
      <c r="AH10" s="79" t="e">
        <f t="shared" si="28"/>
        <v>#VALUE!</v>
      </c>
      <c r="AI10" s="79">
        <f t="shared" si="10"/>
        <v>0</v>
      </c>
      <c r="AJ10" s="97">
        <f t="shared" si="11"/>
        <v>0</v>
      </c>
      <c r="AK10" s="96" t="e">
        <f t="shared" si="29"/>
        <v>#VALUE!</v>
      </c>
      <c r="AL10" s="79" t="e">
        <f t="shared" si="12"/>
        <v>#VALUE!</v>
      </c>
      <c r="AM10" s="79" t="e">
        <f t="shared" si="30"/>
        <v>#VALUE!</v>
      </c>
      <c r="AN10" s="79">
        <f t="shared" si="13"/>
        <v>0</v>
      </c>
      <c r="AO10" s="97">
        <f t="shared" si="14"/>
        <v>0</v>
      </c>
      <c r="AP10" s="96" t="e">
        <f t="shared" si="31"/>
        <v>#VALUE!</v>
      </c>
      <c r="AQ10" s="79" t="e">
        <f t="shared" si="15"/>
        <v>#VALUE!</v>
      </c>
      <c r="AR10" s="79" t="e">
        <f t="shared" si="32"/>
        <v>#VALUE!</v>
      </c>
      <c r="AS10" s="79">
        <f t="shared" si="16"/>
        <v>0</v>
      </c>
      <c r="AT10" s="97">
        <f t="shared" si="17"/>
        <v>0</v>
      </c>
      <c r="AU10" s="96" t="e">
        <f t="shared" si="33"/>
        <v>#VALUE!</v>
      </c>
      <c r="AV10" s="79" t="e">
        <f t="shared" si="18"/>
        <v>#VALUE!</v>
      </c>
      <c r="AW10" s="79" t="e">
        <f t="shared" si="34"/>
        <v>#VALUE!</v>
      </c>
      <c r="AX10" s="79">
        <f t="shared" si="19"/>
        <v>0</v>
      </c>
      <c r="AY10" s="97">
        <f t="shared" si="20"/>
        <v>0</v>
      </c>
    </row>
    <row r="11" spans="1:51" s="49" customFormat="1" ht="10.5" customHeight="1" x14ac:dyDescent="0.2">
      <c r="A11" s="76" t="s">
        <v>4</v>
      </c>
      <c r="B11" s="76"/>
      <c r="C11" s="76"/>
      <c r="D11" s="77" t="s">
        <v>82</v>
      </c>
      <c r="E11" s="164" t="str">
        <f>IF(UPPER(DATOS!O13)&lt;&gt;"M","M",UPPER(DATOS!O13))</f>
        <v>M</v>
      </c>
      <c r="G11" s="367" t="s">
        <v>20</v>
      </c>
      <c r="H11" s="368"/>
      <c r="I11" s="369"/>
      <c r="J11" s="54" t="s">
        <v>21</v>
      </c>
      <c r="K11" s="98">
        <f>SUMPRODUCT(N8:N108,M8:M108)</f>
        <v>0</v>
      </c>
      <c r="L11" s="55"/>
      <c r="M11" s="75">
        <v>3</v>
      </c>
      <c r="N11" s="78" t="str">
        <f>IF(E12&lt;&gt;"M",Q11,"")</f>
        <v/>
      </c>
      <c r="O11" s="78" t="e">
        <f t="shared" si="35"/>
        <v>#VALUE!</v>
      </c>
      <c r="Q11" s="96" t="e">
        <f t="shared" si="21"/>
        <v>#VALUE!</v>
      </c>
      <c r="R11" s="79">
        <f t="shared" si="0"/>
        <v>0</v>
      </c>
      <c r="S11" s="79">
        <f t="shared" si="22"/>
        <v>0</v>
      </c>
      <c r="T11" s="79" t="e">
        <f t="shared" si="1"/>
        <v>#VALUE!</v>
      </c>
      <c r="U11" s="97" t="e">
        <f t="shared" si="2"/>
        <v>#VALUE!</v>
      </c>
      <c r="V11" s="96" t="e">
        <f t="shared" si="23"/>
        <v>#VALUE!</v>
      </c>
      <c r="W11" s="79">
        <f t="shared" si="3"/>
        <v>0</v>
      </c>
      <c r="X11" s="79">
        <f t="shared" si="24"/>
        <v>0</v>
      </c>
      <c r="Y11" s="79" t="e">
        <f t="shared" si="4"/>
        <v>#VALUE!</v>
      </c>
      <c r="Z11" s="97">
        <f t="shared" si="5"/>
        <v>0</v>
      </c>
      <c r="AA11" s="96" t="e">
        <f t="shared" si="25"/>
        <v>#VALUE!</v>
      </c>
      <c r="AB11" s="79" t="e">
        <f t="shared" si="6"/>
        <v>#VALUE!</v>
      </c>
      <c r="AC11" s="79" t="e">
        <f t="shared" si="26"/>
        <v>#VALUE!</v>
      </c>
      <c r="AD11" s="79">
        <f t="shared" si="7"/>
        <v>0</v>
      </c>
      <c r="AE11" s="97">
        <f t="shared" si="8"/>
        <v>0</v>
      </c>
      <c r="AF11" s="96" t="e">
        <f t="shared" si="27"/>
        <v>#VALUE!</v>
      </c>
      <c r="AG11" s="79" t="e">
        <f t="shared" si="9"/>
        <v>#VALUE!</v>
      </c>
      <c r="AH11" s="79" t="e">
        <f t="shared" si="28"/>
        <v>#VALUE!</v>
      </c>
      <c r="AI11" s="79">
        <f t="shared" si="10"/>
        <v>0</v>
      </c>
      <c r="AJ11" s="97">
        <f t="shared" si="11"/>
        <v>0</v>
      </c>
      <c r="AK11" s="96" t="e">
        <f t="shared" si="29"/>
        <v>#VALUE!</v>
      </c>
      <c r="AL11" s="79" t="e">
        <f t="shared" si="12"/>
        <v>#VALUE!</v>
      </c>
      <c r="AM11" s="79" t="e">
        <f t="shared" si="30"/>
        <v>#VALUE!</v>
      </c>
      <c r="AN11" s="79">
        <f t="shared" si="13"/>
        <v>0</v>
      </c>
      <c r="AO11" s="97">
        <f t="shared" si="14"/>
        <v>0</v>
      </c>
      <c r="AP11" s="96" t="e">
        <f t="shared" si="31"/>
        <v>#VALUE!</v>
      </c>
      <c r="AQ11" s="79" t="e">
        <f t="shared" si="15"/>
        <v>#VALUE!</v>
      </c>
      <c r="AR11" s="79" t="e">
        <f t="shared" si="32"/>
        <v>#VALUE!</v>
      </c>
      <c r="AS11" s="79">
        <f t="shared" si="16"/>
        <v>0</v>
      </c>
      <c r="AT11" s="97">
        <f t="shared" si="17"/>
        <v>0</v>
      </c>
      <c r="AU11" s="96" t="e">
        <f t="shared" si="33"/>
        <v>#VALUE!</v>
      </c>
      <c r="AV11" s="79" t="e">
        <f t="shared" si="18"/>
        <v>#VALUE!</v>
      </c>
      <c r="AW11" s="79" t="e">
        <f t="shared" si="34"/>
        <v>#VALUE!</v>
      </c>
      <c r="AX11" s="79">
        <f t="shared" si="19"/>
        <v>0</v>
      </c>
      <c r="AY11" s="97">
        <f t="shared" si="20"/>
        <v>0</v>
      </c>
    </row>
    <row r="12" spans="1:51" s="49" customFormat="1" ht="10.5" customHeight="1" x14ac:dyDescent="0.2">
      <c r="A12" s="76" t="s">
        <v>5</v>
      </c>
      <c r="B12" s="76"/>
      <c r="C12" s="76"/>
      <c r="D12" s="77" t="s">
        <v>81</v>
      </c>
      <c r="E12" s="164" t="str">
        <f>DATOS!O13</f>
        <v>M</v>
      </c>
      <c r="G12" s="56" t="s">
        <v>22</v>
      </c>
      <c r="J12" s="52" t="s">
        <v>23</v>
      </c>
      <c r="K12" s="99" t="str">
        <f>IFERROR(SUM(U:U),"Otro modelo")</f>
        <v>Otro modelo</v>
      </c>
      <c r="L12" s="53"/>
      <c r="M12" s="75">
        <v>4</v>
      </c>
      <c r="N12" s="78" t="str">
        <f>IF(E12&lt;&gt;"M",Q12,"")</f>
        <v/>
      </c>
      <c r="O12" s="78" t="e">
        <f t="shared" si="35"/>
        <v>#VALUE!</v>
      </c>
      <c r="Q12" s="96" t="e">
        <f t="shared" si="21"/>
        <v>#VALUE!</v>
      </c>
      <c r="R12" s="79">
        <f t="shared" si="0"/>
        <v>0</v>
      </c>
      <c r="S12" s="79">
        <f t="shared" si="22"/>
        <v>0</v>
      </c>
      <c r="T12" s="79" t="e">
        <f t="shared" si="1"/>
        <v>#VALUE!</v>
      </c>
      <c r="U12" s="97" t="e">
        <f t="shared" si="2"/>
        <v>#VALUE!</v>
      </c>
      <c r="V12" s="96" t="e">
        <f t="shared" si="23"/>
        <v>#VALUE!</v>
      </c>
      <c r="W12" s="79">
        <f t="shared" si="3"/>
        <v>0</v>
      </c>
      <c r="X12" s="79">
        <f t="shared" si="24"/>
        <v>0</v>
      </c>
      <c r="Y12" s="79" t="e">
        <f t="shared" si="4"/>
        <v>#VALUE!</v>
      </c>
      <c r="Z12" s="97" t="e">
        <f t="shared" si="5"/>
        <v>#VALUE!</v>
      </c>
      <c r="AA12" s="96" t="e">
        <f t="shared" si="25"/>
        <v>#VALUE!</v>
      </c>
      <c r="AB12" s="79">
        <f t="shared" si="6"/>
        <v>0</v>
      </c>
      <c r="AC12" s="79">
        <f t="shared" si="26"/>
        <v>0</v>
      </c>
      <c r="AD12" s="79" t="e">
        <f t="shared" si="7"/>
        <v>#VALUE!</v>
      </c>
      <c r="AE12" s="97">
        <f t="shared" si="8"/>
        <v>0</v>
      </c>
      <c r="AF12" s="96" t="e">
        <f t="shared" si="27"/>
        <v>#VALUE!</v>
      </c>
      <c r="AG12" s="79" t="e">
        <f t="shared" si="9"/>
        <v>#VALUE!</v>
      </c>
      <c r="AH12" s="79" t="e">
        <f t="shared" si="28"/>
        <v>#VALUE!</v>
      </c>
      <c r="AI12" s="79">
        <f t="shared" si="10"/>
        <v>0</v>
      </c>
      <c r="AJ12" s="97">
        <f t="shared" si="11"/>
        <v>0</v>
      </c>
      <c r="AK12" s="96" t="e">
        <f t="shared" si="29"/>
        <v>#VALUE!</v>
      </c>
      <c r="AL12" s="79" t="e">
        <f t="shared" si="12"/>
        <v>#VALUE!</v>
      </c>
      <c r="AM12" s="79" t="e">
        <f t="shared" si="30"/>
        <v>#VALUE!</v>
      </c>
      <c r="AN12" s="79">
        <f t="shared" si="13"/>
        <v>0</v>
      </c>
      <c r="AO12" s="97">
        <f t="shared" si="14"/>
        <v>0</v>
      </c>
      <c r="AP12" s="96" t="e">
        <f t="shared" si="31"/>
        <v>#VALUE!</v>
      </c>
      <c r="AQ12" s="79" t="e">
        <f t="shared" si="15"/>
        <v>#VALUE!</v>
      </c>
      <c r="AR12" s="79" t="e">
        <f t="shared" si="32"/>
        <v>#VALUE!</v>
      </c>
      <c r="AS12" s="79">
        <f t="shared" si="16"/>
        <v>0</v>
      </c>
      <c r="AT12" s="97">
        <f t="shared" si="17"/>
        <v>0</v>
      </c>
      <c r="AU12" s="96" t="e">
        <f t="shared" si="33"/>
        <v>#VALUE!</v>
      </c>
      <c r="AV12" s="79" t="e">
        <f t="shared" si="18"/>
        <v>#VALUE!</v>
      </c>
      <c r="AW12" s="79" t="e">
        <f t="shared" si="34"/>
        <v>#VALUE!</v>
      </c>
      <c r="AX12" s="79">
        <f t="shared" si="19"/>
        <v>0</v>
      </c>
      <c r="AY12" s="97">
        <f t="shared" si="20"/>
        <v>0</v>
      </c>
    </row>
    <row r="13" spans="1:51" s="49" customFormat="1" ht="10.5" customHeight="1" x14ac:dyDescent="0.2">
      <c r="A13" s="76" t="str">
        <f>"Costo de servidor ocupado por "&amp;E4</f>
        <v>Costo de servidor ocupado por hora</v>
      </c>
      <c r="B13" s="76"/>
      <c r="C13" s="76"/>
      <c r="D13" s="77" t="s">
        <v>101</v>
      </c>
      <c r="E13" s="105">
        <f>DATOS!E13</f>
        <v>0</v>
      </c>
      <c r="G13" s="367" t="s">
        <v>24</v>
      </c>
      <c r="H13" s="368"/>
      <c r="I13" s="369"/>
      <c r="J13" s="54" t="s">
        <v>25</v>
      </c>
      <c r="K13" s="98" t="str">
        <f>IFERROR((K11/lmbd)/(pop-K11),"Otro modelo")</f>
        <v>Otro modelo</v>
      </c>
      <c r="L13" s="55" t="str">
        <f>E4</f>
        <v>hora</v>
      </c>
      <c r="M13" s="75">
        <v>5</v>
      </c>
      <c r="N13" s="78" t="str">
        <f>IF(E12&lt;&gt;"M",Q13,"")</f>
        <v/>
      </c>
      <c r="O13" s="78" t="e">
        <f t="shared" si="35"/>
        <v>#VALUE!</v>
      </c>
      <c r="Q13" s="96" t="e">
        <f t="shared" si="21"/>
        <v>#VALUE!</v>
      </c>
      <c r="R13" s="79">
        <f t="shared" si="0"/>
        <v>0</v>
      </c>
      <c r="S13" s="79">
        <f t="shared" si="22"/>
        <v>0</v>
      </c>
      <c r="T13" s="79" t="e">
        <f t="shared" si="1"/>
        <v>#VALUE!</v>
      </c>
      <c r="U13" s="97" t="e">
        <f t="shared" si="2"/>
        <v>#VALUE!</v>
      </c>
      <c r="V13" s="96" t="e">
        <f t="shared" si="23"/>
        <v>#VALUE!</v>
      </c>
      <c r="W13" s="79">
        <f t="shared" si="3"/>
        <v>0</v>
      </c>
      <c r="X13" s="79">
        <f t="shared" si="24"/>
        <v>0</v>
      </c>
      <c r="Y13" s="79" t="e">
        <f t="shared" si="4"/>
        <v>#VALUE!</v>
      </c>
      <c r="Z13" s="97" t="e">
        <f t="shared" si="5"/>
        <v>#VALUE!</v>
      </c>
      <c r="AA13" s="96" t="e">
        <f t="shared" si="25"/>
        <v>#VALUE!</v>
      </c>
      <c r="AB13" s="79">
        <f t="shared" si="6"/>
        <v>0</v>
      </c>
      <c r="AC13" s="79">
        <f t="shared" si="26"/>
        <v>0</v>
      </c>
      <c r="AD13" s="79" t="e">
        <f t="shared" si="7"/>
        <v>#VALUE!</v>
      </c>
      <c r="AE13" s="97" t="e">
        <f t="shared" si="8"/>
        <v>#VALUE!</v>
      </c>
      <c r="AF13" s="96" t="e">
        <f t="shared" si="27"/>
        <v>#VALUE!</v>
      </c>
      <c r="AG13" s="79">
        <f t="shared" si="9"/>
        <v>0</v>
      </c>
      <c r="AH13" s="79">
        <f t="shared" si="28"/>
        <v>0</v>
      </c>
      <c r="AI13" s="79" t="e">
        <f t="shared" si="10"/>
        <v>#VALUE!</v>
      </c>
      <c r="AJ13" s="97">
        <f t="shared" si="11"/>
        <v>0</v>
      </c>
      <c r="AK13" s="96" t="e">
        <f t="shared" si="29"/>
        <v>#VALUE!</v>
      </c>
      <c r="AL13" s="79" t="e">
        <f t="shared" si="12"/>
        <v>#VALUE!</v>
      </c>
      <c r="AM13" s="79" t="e">
        <f t="shared" si="30"/>
        <v>#VALUE!</v>
      </c>
      <c r="AN13" s="79">
        <f t="shared" si="13"/>
        <v>0</v>
      </c>
      <c r="AO13" s="97">
        <f t="shared" si="14"/>
        <v>0</v>
      </c>
      <c r="AP13" s="96" t="e">
        <f t="shared" si="31"/>
        <v>#VALUE!</v>
      </c>
      <c r="AQ13" s="79" t="e">
        <f t="shared" si="15"/>
        <v>#VALUE!</v>
      </c>
      <c r="AR13" s="79" t="e">
        <f t="shared" si="32"/>
        <v>#VALUE!</v>
      </c>
      <c r="AS13" s="79">
        <f t="shared" si="16"/>
        <v>0</v>
      </c>
      <c r="AT13" s="97">
        <f t="shared" si="17"/>
        <v>0</v>
      </c>
      <c r="AU13" s="96" t="e">
        <f t="shared" si="33"/>
        <v>#VALUE!</v>
      </c>
      <c r="AV13" s="79" t="e">
        <f t="shared" si="18"/>
        <v>#VALUE!</v>
      </c>
      <c r="AW13" s="79" t="e">
        <f t="shared" si="34"/>
        <v>#VALUE!</v>
      </c>
      <c r="AX13" s="79">
        <f t="shared" si="19"/>
        <v>0</v>
      </c>
      <c r="AY13" s="97">
        <f t="shared" si="20"/>
        <v>0</v>
      </c>
    </row>
    <row r="14" spans="1:51" s="49" customFormat="1" ht="10.5" customHeight="1" x14ac:dyDescent="0.2">
      <c r="A14" s="76" t="str">
        <f>"Costo de servidor libre por "&amp;E4</f>
        <v>Costo de servidor libre por hora</v>
      </c>
      <c r="B14" s="76"/>
      <c r="C14" s="76"/>
      <c r="D14" s="77" t="s">
        <v>102</v>
      </c>
      <c r="E14" s="105">
        <f>DATOS!E14</f>
        <v>0</v>
      </c>
      <c r="G14" s="56" t="s">
        <v>26</v>
      </c>
      <c r="J14" s="52" t="s">
        <v>27</v>
      </c>
      <c r="K14" s="99" t="str">
        <f>IFERROR((K12/lmbd)/(pop-K11),"Otro modelo")</f>
        <v>Otro modelo</v>
      </c>
      <c r="L14" s="53" t="str">
        <f>E4</f>
        <v>hora</v>
      </c>
      <c r="M14" s="75">
        <v>6</v>
      </c>
      <c r="N14" s="78" t="str">
        <f>IF(E12&lt;&gt;"M",Q14,"")</f>
        <v/>
      </c>
      <c r="O14" s="78" t="e">
        <f t="shared" si="35"/>
        <v>#VALUE!</v>
      </c>
      <c r="Q14" s="96" t="e">
        <f t="shared" si="21"/>
        <v>#VALUE!</v>
      </c>
      <c r="R14" s="79">
        <f t="shared" si="0"/>
        <v>0</v>
      </c>
      <c r="S14" s="79">
        <f t="shared" si="22"/>
        <v>0</v>
      </c>
      <c r="T14" s="79" t="e">
        <f>IF(AND($M14&gt;=$E$8,$M14&lt;=$E$12),((($K$28^($M14))*FACT($E$12))/((FACT($E$8))*(FACT(ABS($E$12-$M14)))*($E$8^($M14-$E$8)))),0)</f>
        <v>#VALUE!</v>
      </c>
      <c r="U14" s="97" t="e">
        <f t="shared" si="2"/>
        <v>#VALUE!</v>
      </c>
      <c r="V14" s="96" t="e">
        <f t="shared" si="23"/>
        <v>#VALUE!</v>
      </c>
      <c r="W14" s="79">
        <f t="shared" si="3"/>
        <v>0</v>
      </c>
      <c r="X14" s="79">
        <f t="shared" si="24"/>
        <v>0</v>
      </c>
      <c r="Y14" s="79" t="e">
        <f t="shared" si="4"/>
        <v>#VALUE!</v>
      </c>
      <c r="Z14" s="97" t="e">
        <f t="shared" si="5"/>
        <v>#VALUE!</v>
      </c>
      <c r="AA14" s="96" t="e">
        <f t="shared" si="25"/>
        <v>#VALUE!</v>
      </c>
      <c r="AB14" s="79">
        <f t="shared" si="6"/>
        <v>0</v>
      </c>
      <c r="AC14" s="79">
        <f t="shared" si="26"/>
        <v>0</v>
      </c>
      <c r="AD14" s="79" t="e">
        <f t="shared" si="7"/>
        <v>#VALUE!</v>
      </c>
      <c r="AE14" s="97" t="e">
        <f t="shared" si="8"/>
        <v>#VALUE!</v>
      </c>
      <c r="AF14" s="96" t="e">
        <f t="shared" si="27"/>
        <v>#VALUE!</v>
      </c>
      <c r="AG14" s="79">
        <f t="shared" si="9"/>
        <v>0</v>
      </c>
      <c r="AH14" s="79">
        <f t="shared" si="28"/>
        <v>0</v>
      </c>
      <c r="AI14" s="79" t="e">
        <f t="shared" si="10"/>
        <v>#VALUE!</v>
      </c>
      <c r="AJ14" s="97" t="e">
        <f t="shared" si="11"/>
        <v>#VALUE!</v>
      </c>
      <c r="AK14" s="96" t="e">
        <f t="shared" si="29"/>
        <v>#VALUE!</v>
      </c>
      <c r="AL14" s="79">
        <f t="shared" si="12"/>
        <v>0</v>
      </c>
      <c r="AM14" s="79">
        <f t="shared" si="30"/>
        <v>0</v>
      </c>
      <c r="AN14" s="79" t="e">
        <f t="shared" si="13"/>
        <v>#VALUE!</v>
      </c>
      <c r="AO14" s="97">
        <f t="shared" si="14"/>
        <v>0</v>
      </c>
      <c r="AP14" s="96" t="e">
        <f t="shared" si="31"/>
        <v>#VALUE!</v>
      </c>
      <c r="AQ14" s="79" t="e">
        <f t="shared" si="15"/>
        <v>#VALUE!</v>
      </c>
      <c r="AR14" s="79" t="e">
        <f t="shared" si="32"/>
        <v>#VALUE!</v>
      </c>
      <c r="AS14" s="79">
        <f t="shared" si="16"/>
        <v>0</v>
      </c>
      <c r="AT14" s="97">
        <f t="shared" si="17"/>
        <v>0</v>
      </c>
      <c r="AU14" s="96" t="e">
        <f t="shared" si="33"/>
        <v>#VALUE!</v>
      </c>
      <c r="AV14" s="79" t="e">
        <f t="shared" si="18"/>
        <v>#VALUE!</v>
      </c>
      <c r="AW14" s="79" t="e">
        <f t="shared" si="34"/>
        <v>#VALUE!</v>
      </c>
      <c r="AX14" s="79">
        <f t="shared" si="19"/>
        <v>0</v>
      </c>
      <c r="AY14" s="97">
        <f t="shared" si="20"/>
        <v>0</v>
      </c>
    </row>
    <row r="15" spans="1:51" s="49" customFormat="1" ht="10.5" customHeight="1" x14ac:dyDescent="0.2">
      <c r="A15" s="76" t="str">
        <f>"Costo de cliente en espera por "&amp;E4</f>
        <v>Costo de cliente en espera por hora</v>
      </c>
      <c r="B15" s="76"/>
      <c r="C15" s="76"/>
      <c r="D15" s="77" t="s">
        <v>48</v>
      </c>
      <c r="E15" s="105">
        <f>DATOS!E15</f>
        <v>0</v>
      </c>
      <c r="G15" s="367" t="s">
        <v>28</v>
      </c>
      <c r="H15" s="368"/>
      <c r="I15" s="369"/>
      <c r="J15" s="54" t="s">
        <v>29</v>
      </c>
      <c r="K15" s="98" t="str">
        <f>IF($N$8="","Otro modelo",N8)</f>
        <v>Otro modelo</v>
      </c>
      <c r="L15" s="100" t="str">
        <f>K15</f>
        <v>Otro modelo</v>
      </c>
      <c r="M15" s="75">
        <v>7</v>
      </c>
      <c r="N15" s="78" t="str">
        <f>IF(E12&lt;&gt;"M",Q15,"")</f>
        <v/>
      </c>
      <c r="O15" s="78" t="e">
        <f t="shared" si="35"/>
        <v>#VALUE!</v>
      </c>
      <c r="Q15" s="96" t="e">
        <f t="shared" si="21"/>
        <v>#VALUE!</v>
      </c>
      <c r="R15" s="79">
        <f t="shared" si="0"/>
        <v>0</v>
      </c>
      <c r="S15" s="79">
        <f t="shared" si="22"/>
        <v>0</v>
      </c>
      <c r="T15" s="79" t="e">
        <f t="shared" ref="T15:T78" si="36">IF(AND($M15&gt;=$E$8,$M15&lt;=$E$12),((($K$28^($M15))*FACT($E$12))/((FACT($E$8))*(FACT(ABS($E$12-$M15)))*($E$8^($M15-$E$8)))),0)</f>
        <v>#VALUE!</v>
      </c>
      <c r="U15" s="97" t="e">
        <f t="shared" si="2"/>
        <v>#VALUE!</v>
      </c>
      <c r="V15" s="96" t="e">
        <f t="shared" si="23"/>
        <v>#VALUE!</v>
      </c>
      <c r="W15" s="79">
        <f t="shared" si="3"/>
        <v>0</v>
      </c>
      <c r="X15" s="79">
        <f t="shared" si="24"/>
        <v>0</v>
      </c>
      <c r="Y15" s="79" t="e">
        <f t="shared" si="4"/>
        <v>#VALUE!</v>
      </c>
      <c r="Z15" s="97" t="e">
        <f t="shared" si="5"/>
        <v>#VALUE!</v>
      </c>
      <c r="AA15" s="96" t="e">
        <f t="shared" si="25"/>
        <v>#VALUE!</v>
      </c>
      <c r="AB15" s="79">
        <f t="shared" si="6"/>
        <v>0</v>
      </c>
      <c r="AC15" s="79">
        <f t="shared" si="26"/>
        <v>0</v>
      </c>
      <c r="AD15" s="79" t="e">
        <f t="shared" si="7"/>
        <v>#VALUE!</v>
      </c>
      <c r="AE15" s="97" t="e">
        <f t="shared" si="8"/>
        <v>#VALUE!</v>
      </c>
      <c r="AF15" s="96" t="e">
        <f t="shared" si="27"/>
        <v>#VALUE!</v>
      </c>
      <c r="AG15" s="79">
        <f t="shared" si="9"/>
        <v>0</v>
      </c>
      <c r="AH15" s="79">
        <f t="shared" si="28"/>
        <v>0</v>
      </c>
      <c r="AI15" s="79" t="e">
        <f t="shared" si="10"/>
        <v>#VALUE!</v>
      </c>
      <c r="AJ15" s="97" t="e">
        <f t="shared" si="11"/>
        <v>#VALUE!</v>
      </c>
      <c r="AK15" s="96" t="e">
        <f t="shared" si="29"/>
        <v>#VALUE!</v>
      </c>
      <c r="AL15" s="79">
        <f t="shared" si="12"/>
        <v>0</v>
      </c>
      <c r="AM15" s="79">
        <f t="shared" si="30"/>
        <v>0</v>
      </c>
      <c r="AN15" s="79" t="e">
        <f t="shared" si="13"/>
        <v>#VALUE!</v>
      </c>
      <c r="AO15" s="97" t="e">
        <f t="shared" si="14"/>
        <v>#VALUE!</v>
      </c>
      <c r="AP15" s="96" t="e">
        <f t="shared" si="31"/>
        <v>#VALUE!</v>
      </c>
      <c r="AQ15" s="79">
        <f t="shared" si="15"/>
        <v>0</v>
      </c>
      <c r="AR15" s="79">
        <f t="shared" si="32"/>
        <v>0</v>
      </c>
      <c r="AS15" s="79" t="e">
        <f t="shared" si="16"/>
        <v>#VALUE!</v>
      </c>
      <c r="AT15" s="97">
        <f t="shared" si="17"/>
        <v>0</v>
      </c>
      <c r="AU15" s="96" t="e">
        <f t="shared" si="33"/>
        <v>#VALUE!</v>
      </c>
      <c r="AV15" s="79" t="e">
        <f t="shared" si="18"/>
        <v>#VALUE!</v>
      </c>
      <c r="AW15" s="79" t="e">
        <f t="shared" si="34"/>
        <v>#VALUE!</v>
      </c>
      <c r="AX15" s="79">
        <f t="shared" si="19"/>
        <v>0</v>
      </c>
      <c r="AY15" s="97">
        <f t="shared" si="20"/>
        <v>0</v>
      </c>
    </row>
    <row r="16" spans="1:51" s="49" customFormat="1" ht="10.5" customHeight="1" x14ac:dyDescent="0.2">
      <c r="A16" s="76" t="str">
        <f>"Costo de cliente en atención por "&amp;E4</f>
        <v>Costo de cliente en atención por hora</v>
      </c>
      <c r="B16" s="76"/>
      <c r="C16" s="76"/>
      <c r="D16" s="77" t="s">
        <v>103</v>
      </c>
      <c r="E16" s="105">
        <f>DATOS!E16</f>
        <v>0</v>
      </c>
      <c r="G16" s="56" t="s">
        <v>30</v>
      </c>
      <c r="J16" s="52" t="s">
        <v>31</v>
      </c>
      <c r="K16" s="99">
        <f ca="1">1-SUM(OFFSET(N8:N108,0,0,cl,1))</f>
        <v>1</v>
      </c>
      <c r="L16" s="57">
        <f ca="1">K16</f>
        <v>1</v>
      </c>
      <c r="M16" s="75">
        <v>8</v>
      </c>
      <c r="N16" s="78" t="str">
        <f>IF(E12&lt;&gt;"M",Q16,"")</f>
        <v/>
      </c>
      <c r="O16" s="78" t="e">
        <f t="shared" si="35"/>
        <v>#VALUE!</v>
      </c>
      <c r="Q16" s="96" t="e">
        <f t="shared" si="21"/>
        <v>#VALUE!</v>
      </c>
      <c r="R16" s="79">
        <f t="shared" si="0"/>
        <v>0</v>
      </c>
      <c r="S16" s="79">
        <f t="shared" si="22"/>
        <v>0</v>
      </c>
      <c r="T16" s="79" t="e">
        <f t="shared" si="36"/>
        <v>#VALUE!</v>
      </c>
      <c r="U16" s="97" t="e">
        <f t="shared" si="2"/>
        <v>#VALUE!</v>
      </c>
      <c r="V16" s="96" t="e">
        <f t="shared" si="23"/>
        <v>#VALUE!</v>
      </c>
      <c r="W16" s="79">
        <f t="shared" si="3"/>
        <v>0</v>
      </c>
      <c r="X16" s="79">
        <f t="shared" si="24"/>
        <v>0</v>
      </c>
      <c r="Y16" s="79" t="e">
        <f t="shared" si="4"/>
        <v>#VALUE!</v>
      </c>
      <c r="Z16" s="97" t="e">
        <f t="shared" si="5"/>
        <v>#VALUE!</v>
      </c>
      <c r="AA16" s="96" t="e">
        <f t="shared" si="25"/>
        <v>#VALUE!</v>
      </c>
      <c r="AB16" s="79">
        <f t="shared" si="6"/>
        <v>0</v>
      </c>
      <c r="AC16" s="79">
        <f t="shared" si="26"/>
        <v>0</v>
      </c>
      <c r="AD16" s="79" t="e">
        <f t="shared" si="7"/>
        <v>#VALUE!</v>
      </c>
      <c r="AE16" s="97" t="e">
        <f t="shared" si="8"/>
        <v>#VALUE!</v>
      </c>
      <c r="AF16" s="96" t="e">
        <f t="shared" si="27"/>
        <v>#VALUE!</v>
      </c>
      <c r="AG16" s="79">
        <f t="shared" si="9"/>
        <v>0</v>
      </c>
      <c r="AH16" s="79">
        <f t="shared" si="28"/>
        <v>0</v>
      </c>
      <c r="AI16" s="79" t="e">
        <f t="shared" si="10"/>
        <v>#VALUE!</v>
      </c>
      <c r="AJ16" s="97" t="e">
        <f t="shared" si="11"/>
        <v>#VALUE!</v>
      </c>
      <c r="AK16" s="96" t="e">
        <f t="shared" si="29"/>
        <v>#VALUE!</v>
      </c>
      <c r="AL16" s="79">
        <f t="shared" si="12"/>
        <v>0</v>
      </c>
      <c r="AM16" s="79">
        <f t="shared" si="30"/>
        <v>0</v>
      </c>
      <c r="AN16" s="79" t="e">
        <f t="shared" si="13"/>
        <v>#VALUE!</v>
      </c>
      <c r="AO16" s="97" t="e">
        <f t="shared" si="14"/>
        <v>#VALUE!</v>
      </c>
      <c r="AP16" s="96" t="e">
        <f t="shared" si="31"/>
        <v>#VALUE!</v>
      </c>
      <c r="AQ16" s="79">
        <f t="shared" si="15"/>
        <v>0</v>
      </c>
      <c r="AR16" s="79">
        <f t="shared" si="32"/>
        <v>0</v>
      </c>
      <c r="AS16" s="79" t="e">
        <f t="shared" si="16"/>
        <v>#VALUE!</v>
      </c>
      <c r="AT16" s="97" t="e">
        <f t="shared" si="17"/>
        <v>#VALUE!</v>
      </c>
      <c r="AU16" s="96" t="e">
        <f t="shared" si="33"/>
        <v>#VALUE!</v>
      </c>
      <c r="AV16" s="79">
        <f t="shared" si="18"/>
        <v>0</v>
      </c>
      <c r="AW16" s="79">
        <f t="shared" si="34"/>
        <v>0</v>
      </c>
      <c r="AX16" s="79" t="e">
        <f t="shared" si="19"/>
        <v>#VALUE!</v>
      </c>
      <c r="AY16" s="97">
        <f t="shared" si="20"/>
        <v>0</v>
      </c>
    </row>
    <row r="17" spans="1:51" s="49" customFormat="1" ht="10.5" customHeight="1" x14ac:dyDescent="0.2">
      <c r="A17" s="76" t="s">
        <v>6</v>
      </c>
      <c r="B17" s="76"/>
      <c r="C17" s="76"/>
      <c r="D17" s="77" t="s">
        <v>50</v>
      </c>
      <c r="E17" s="105">
        <f>DATOS!E17</f>
        <v>0</v>
      </c>
      <c r="G17" s="370" t="str">
        <f>"Media de clientes rechazados por "&amp;E4</f>
        <v>Media de clientes rechazados por hora</v>
      </c>
      <c r="H17" s="371"/>
      <c r="I17" s="372"/>
      <c r="J17" s="58"/>
      <c r="K17" s="98"/>
      <c r="L17" s="55"/>
      <c r="M17" s="75">
        <v>9</v>
      </c>
      <c r="N17" s="78" t="str">
        <f>IF(E12&lt;&gt;"M",Q17,"")</f>
        <v/>
      </c>
      <c r="O17" s="78" t="e">
        <f t="shared" si="35"/>
        <v>#VALUE!</v>
      </c>
      <c r="Q17" s="96" t="e">
        <f t="shared" si="21"/>
        <v>#VALUE!</v>
      </c>
      <c r="R17" s="79">
        <f t="shared" si="0"/>
        <v>0</v>
      </c>
      <c r="S17" s="79">
        <f t="shared" si="22"/>
        <v>0</v>
      </c>
      <c r="T17" s="79" t="e">
        <f t="shared" si="36"/>
        <v>#VALUE!</v>
      </c>
      <c r="U17" s="97" t="e">
        <f t="shared" si="2"/>
        <v>#VALUE!</v>
      </c>
      <c r="V17" s="96" t="e">
        <f t="shared" si="23"/>
        <v>#VALUE!</v>
      </c>
      <c r="W17" s="79">
        <f t="shared" si="3"/>
        <v>0</v>
      </c>
      <c r="X17" s="79">
        <f t="shared" si="24"/>
        <v>0</v>
      </c>
      <c r="Y17" s="79" t="e">
        <f t="shared" si="4"/>
        <v>#VALUE!</v>
      </c>
      <c r="Z17" s="97" t="e">
        <f t="shared" si="5"/>
        <v>#VALUE!</v>
      </c>
      <c r="AA17" s="96" t="e">
        <f t="shared" si="25"/>
        <v>#VALUE!</v>
      </c>
      <c r="AB17" s="79">
        <f t="shared" si="6"/>
        <v>0</v>
      </c>
      <c r="AC17" s="79">
        <f t="shared" si="26"/>
        <v>0</v>
      </c>
      <c r="AD17" s="79" t="e">
        <f t="shared" si="7"/>
        <v>#VALUE!</v>
      </c>
      <c r="AE17" s="97" t="e">
        <f t="shared" si="8"/>
        <v>#VALUE!</v>
      </c>
      <c r="AF17" s="96" t="e">
        <f t="shared" si="27"/>
        <v>#VALUE!</v>
      </c>
      <c r="AG17" s="79">
        <f t="shared" si="9"/>
        <v>0</v>
      </c>
      <c r="AH17" s="79">
        <f t="shared" si="28"/>
        <v>0</v>
      </c>
      <c r="AI17" s="79" t="e">
        <f t="shared" si="10"/>
        <v>#VALUE!</v>
      </c>
      <c r="AJ17" s="97" t="e">
        <f t="shared" si="11"/>
        <v>#VALUE!</v>
      </c>
      <c r="AK17" s="96" t="e">
        <f t="shared" si="29"/>
        <v>#VALUE!</v>
      </c>
      <c r="AL17" s="79">
        <f t="shared" si="12"/>
        <v>0</v>
      </c>
      <c r="AM17" s="79">
        <f t="shared" si="30"/>
        <v>0</v>
      </c>
      <c r="AN17" s="79" t="e">
        <f t="shared" si="13"/>
        <v>#VALUE!</v>
      </c>
      <c r="AO17" s="97" t="e">
        <f t="shared" si="14"/>
        <v>#VALUE!</v>
      </c>
      <c r="AP17" s="96" t="e">
        <f t="shared" si="31"/>
        <v>#VALUE!</v>
      </c>
      <c r="AQ17" s="79">
        <f t="shared" si="15"/>
        <v>0</v>
      </c>
      <c r="AR17" s="79">
        <f t="shared" si="32"/>
        <v>0</v>
      </c>
      <c r="AS17" s="79" t="e">
        <f t="shared" si="16"/>
        <v>#VALUE!</v>
      </c>
      <c r="AT17" s="97" t="e">
        <f t="shared" si="17"/>
        <v>#VALUE!</v>
      </c>
      <c r="AU17" s="96" t="e">
        <f t="shared" si="33"/>
        <v>#VALUE!</v>
      </c>
      <c r="AV17" s="79">
        <f t="shared" si="18"/>
        <v>0</v>
      </c>
      <c r="AW17" s="79">
        <f t="shared" si="34"/>
        <v>0</v>
      </c>
      <c r="AX17" s="79" t="e">
        <f t="shared" si="19"/>
        <v>#VALUE!</v>
      </c>
      <c r="AY17" s="97" t="e">
        <f t="shared" si="20"/>
        <v>#VALUE!</v>
      </c>
    </row>
    <row r="18" spans="1:51" s="49" customFormat="1" ht="10.5" customHeight="1" x14ac:dyDescent="0.2">
      <c r="A18" s="76" t="s">
        <v>7</v>
      </c>
      <c r="B18" s="76"/>
      <c r="C18" s="76"/>
      <c r="D18" s="77" t="s">
        <v>104</v>
      </c>
      <c r="E18" s="105">
        <v>0</v>
      </c>
      <c r="G18" s="337" t="str">
        <f>IF($E$19&lt;&gt;"","Probabilidad de W&gt;t cuando t = "&amp;E19,"")</f>
        <v/>
      </c>
      <c r="H18" s="337"/>
      <c r="I18" s="337"/>
      <c r="J18" s="52"/>
      <c r="K18" s="99" t="str">
        <f>IF($E$19&lt;&gt;"",IF((cl-1-lmbd/micro)=0,EXP(-micro*$E$19)*(1+Pe0*((lmbd/micro)^cl)/(FACT(cl)*(1-$K$29))*micro*$E$19),EXP(-micro*$E$19)*(1+K15*((lmbd/micro)^cl)/(FACT(cl)*(1-$K$29))*(1-EXP(-micro*$E$19*(cl-1-lmbd/micro)))/(cl-1-lmbd/micro))),"")</f>
        <v/>
      </c>
      <c r="L18" s="53"/>
      <c r="M18" s="75">
        <v>10</v>
      </c>
      <c r="N18" s="78" t="str">
        <f>IF(E12&lt;&gt;"M",Q18,"")</f>
        <v/>
      </c>
      <c r="O18" s="78" t="e">
        <f t="shared" si="35"/>
        <v>#VALUE!</v>
      </c>
      <c r="Q18" s="96" t="e">
        <f t="shared" si="21"/>
        <v>#VALUE!</v>
      </c>
      <c r="R18" s="79">
        <f t="shared" si="0"/>
        <v>0</v>
      </c>
      <c r="S18" s="79">
        <f t="shared" si="22"/>
        <v>0</v>
      </c>
      <c r="T18" s="79" t="e">
        <f t="shared" si="36"/>
        <v>#VALUE!</v>
      </c>
      <c r="U18" s="97" t="e">
        <f t="shared" si="2"/>
        <v>#VALUE!</v>
      </c>
      <c r="V18" s="96" t="e">
        <f t="shared" si="23"/>
        <v>#VALUE!</v>
      </c>
      <c r="W18" s="79">
        <f t="shared" si="3"/>
        <v>0</v>
      </c>
      <c r="X18" s="79">
        <f t="shared" si="24"/>
        <v>0</v>
      </c>
      <c r="Y18" s="79" t="e">
        <f t="shared" si="4"/>
        <v>#VALUE!</v>
      </c>
      <c r="Z18" s="97" t="e">
        <f t="shared" si="5"/>
        <v>#VALUE!</v>
      </c>
      <c r="AA18" s="96" t="e">
        <f t="shared" si="25"/>
        <v>#VALUE!</v>
      </c>
      <c r="AB18" s="79">
        <f t="shared" si="6"/>
        <v>0</v>
      </c>
      <c r="AC18" s="79">
        <f t="shared" si="26"/>
        <v>0</v>
      </c>
      <c r="AD18" s="79" t="e">
        <f t="shared" si="7"/>
        <v>#VALUE!</v>
      </c>
      <c r="AE18" s="97" t="e">
        <f t="shared" si="8"/>
        <v>#VALUE!</v>
      </c>
      <c r="AF18" s="96" t="e">
        <f t="shared" si="27"/>
        <v>#VALUE!</v>
      </c>
      <c r="AG18" s="79">
        <f t="shared" si="9"/>
        <v>0</v>
      </c>
      <c r="AH18" s="79">
        <f t="shared" si="28"/>
        <v>0</v>
      </c>
      <c r="AI18" s="79" t="e">
        <f t="shared" si="10"/>
        <v>#VALUE!</v>
      </c>
      <c r="AJ18" s="97" t="e">
        <f t="shared" si="11"/>
        <v>#VALUE!</v>
      </c>
      <c r="AK18" s="96" t="e">
        <f t="shared" si="29"/>
        <v>#VALUE!</v>
      </c>
      <c r="AL18" s="79">
        <f t="shared" si="12"/>
        <v>0</v>
      </c>
      <c r="AM18" s="79">
        <f t="shared" si="30"/>
        <v>0</v>
      </c>
      <c r="AN18" s="79" t="e">
        <f t="shared" si="13"/>
        <v>#VALUE!</v>
      </c>
      <c r="AO18" s="97" t="e">
        <f t="shared" si="14"/>
        <v>#VALUE!</v>
      </c>
      <c r="AP18" s="96" t="e">
        <f t="shared" si="31"/>
        <v>#VALUE!</v>
      </c>
      <c r="AQ18" s="79">
        <f t="shared" si="15"/>
        <v>0</v>
      </c>
      <c r="AR18" s="79">
        <f t="shared" si="32"/>
        <v>0</v>
      </c>
      <c r="AS18" s="79" t="e">
        <f t="shared" si="16"/>
        <v>#VALUE!</v>
      </c>
      <c r="AT18" s="97" t="e">
        <f t="shared" si="17"/>
        <v>#VALUE!</v>
      </c>
      <c r="AU18" s="96" t="e">
        <f t="shared" si="33"/>
        <v>#VALUE!</v>
      </c>
      <c r="AV18" s="79">
        <f t="shared" si="18"/>
        <v>0</v>
      </c>
      <c r="AW18" s="79">
        <f t="shared" si="34"/>
        <v>0</v>
      </c>
      <c r="AX18" s="79" t="e">
        <f t="shared" si="19"/>
        <v>#VALUE!</v>
      </c>
      <c r="AY18" s="97" t="e">
        <f t="shared" si="20"/>
        <v>#VALUE!</v>
      </c>
    </row>
    <row r="19" spans="1:51" s="49" customFormat="1" ht="10.5" customHeight="1" x14ac:dyDescent="0.2">
      <c r="A19" s="76" t="str">
        <f>"Tiempo de referencia ("&amp;E$4&amp;")"</f>
        <v>Tiempo de referencia (hora)</v>
      </c>
      <c r="B19" s="76"/>
      <c r="C19" s="76"/>
      <c r="D19" s="81" t="s">
        <v>18</v>
      </c>
      <c r="E19" s="105" t="str">
        <f>IF(DATOS!E19=0,"",DATOS!E19)</f>
        <v/>
      </c>
      <c r="G19" s="337" t="str">
        <f>IF($E$19&lt;&gt;"","Probabilidad de Wq&gt;t cuando t = "&amp;E19,"")</f>
        <v/>
      </c>
      <c r="H19" s="337"/>
      <c r="I19" s="337"/>
      <c r="J19" s="54"/>
      <c r="K19" s="98" t="str">
        <f ca="1">IF(E19&lt;&gt;"",(1-SUM(OFFSET(N8,0,0,cl,1)))*EXP(-cl*micro*(1-$K$29)*$E$19),"")</f>
        <v/>
      </c>
      <c r="L19" s="55"/>
      <c r="M19" s="75">
        <v>11</v>
      </c>
      <c r="N19" s="78" t="str">
        <f>IF(E12&lt;&gt;"M",Q19,"")</f>
        <v/>
      </c>
      <c r="O19" s="78" t="e">
        <f t="shared" si="35"/>
        <v>#VALUE!</v>
      </c>
      <c r="Q19" s="96" t="e">
        <f t="shared" si="21"/>
        <v>#VALUE!</v>
      </c>
      <c r="R19" s="79">
        <f t="shared" si="0"/>
        <v>0</v>
      </c>
      <c r="S19" s="79">
        <f t="shared" si="22"/>
        <v>0</v>
      </c>
      <c r="T19" s="79" t="e">
        <f t="shared" si="36"/>
        <v>#VALUE!</v>
      </c>
      <c r="U19" s="97" t="e">
        <f t="shared" si="2"/>
        <v>#VALUE!</v>
      </c>
      <c r="V19" s="96" t="e">
        <f t="shared" si="23"/>
        <v>#VALUE!</v>
      </c>
      <c r="W19" s="79">
        <f t="shared" si="3"/>
        <v>0</v>
      </c>
      <c r="X19" s="79">
        <f t="shared" si="24"/>
        <v>0</v>
      </c>
      <c r="Y19" s="79" t="e">
        <f t="shared" si="4"/>
        <v>#VALUE!</v>
      </c>
      <c r="Z19" s="97" t="e">
        <f t="shared" si="5"/>
        <v>#VALUE!</v>
      </c>
      <c r="AA19" s="96" t="e">
        <f t="shared" si="25"/>
        <v>#VALUE!</v>
      </c>
      <c r="AB19" s="79">
        <f t="shared" si="6"/>
        <v>0</v>
      </c>
      <c r="AC19" s="79">
        <f t="shared" si="26"/>
        <v>0</v>
      </c>
      <c r="AD19" s="79" t="e">
        <f t="shared" si="7"/>
        <v>#VALUE!</v>
      </c>
      <c r="AE19" s="97" t="e">
        <f t="shared" si="8"/>
        <v>#VALUE!</v>
      </c>
      <c r="AF19" s="96" t="e">
        <f t="shared" si="27"/>
        <v>#VALUE!</v>
      </c>
      <c r="AG19" s="79">
        <f t="shared" si="9"/>
        <v>0</v>
      </c>
      <c r="AH19" s="79">
        <f t="shared" si="28"/>
        <v>0</v>
      </c>
      <c r="AI19" s="79" t="e">
        <f t="shared" si="10"/>
        <v>#VALUE!</v>
      </c>
      <c r="AJ19" s="97" t="e">
        <f t="shared" si="11"/>
        <v>#VALUE!</v>
      </c>
      <c r="AK19" s="96" t="e">
        <f t="shared" si="29"/>
        <v>#VALUE!</v>
      </c>
      <c r="AL19" s="79">
        <f t="shared" si="12"/>
        <v>0</v>
      </c>
      <c r="AM19" s="79">
        <f t="shared" si="30"/>
        <v>0</v>
      </c>
      <c r="AN19" s="79" t="e">
        <f t="shared" si="13"/>
        <v>#VALUE!</v>
      </c>
      <c r="AO19" s="97" t="e">
        <f t="shared" si="14"/>
        <v>#VALUE!</v>
      </c>
      <c r="AP19" s="96" t="e">
        <f t="shared" si="31"/>
        <v>#VALUE!</v>
      </c>
      <c r="AQ19" s="79">
        <f t="shared" si="15"/>
        <v>0</v>
      </c>
      <c r="AR19" s="79">
        <f t="shared" si="32"/>
        <v>0</v>
      </c>
      <c r="AS19" s="79" t="e">
        <f t="shared" si="16"/>
        <v>#VALUE!</v>
      </c>
      <c r="AT19" s="97" t="e">
        <f t="shared" si="17"/>
        <v>#VALUE!</v>
      </c>
      <c r="AU19" s="96" t="e">
        <f t="shared" si="33"/>
        <v>#VALUE!</v>
      </c>
      <c r="AV19" s="79">
        <f t="shared" si="18"/>
        <v>0</v>
      </c>
      <c r="AW19" s="79">
        <f t="shared" si="34"/>
        <v>0</v>
      </c>
      <c r="AX19" s="79" t="e">
        <f t="shared" si="19"/>
        <v>#VALUE!</v>
      </c>
      <c r="AY19" s="97" t="e">
        <f t="shared" si="20"/>
        <v>#VALUE!</v>
      </c>
    </row>
    <row r="20" spans="1:51" s="49" customFormat="1" ht="10.5" customHeight="1" x14ac:dyDescent="0.2">
      <c r="A20" s="170" t="str">
        <f>DATOS!E$5</f>
        <v>hora</v>
      </c>
      <c r="B20" s="170"/>
      <c r="C20" s="170"/>
      <c r="D20" s="171"/>
      <c r="E20" s="170"/>
      <c r="G20" s="59" t="s">
        <v>32</v>
      </c>
      <c r="H20" s="373"/>
      <c r="I20" s="374"/>
      <c r="J20" s="375"/>
      <c r="K20" s="101"/>
      <c r="L20" s="60"/>
      <c r="M20" s="75">
        <v>12</v>
      </c>
      <c r="N20" s="78" t="str">
        <f>IF(E12&lt;&gt;"M",Q20,"")</f>
        <v/>
      </c>
      <c r="O20" s="78" t="e">
        <f t="shared" si="35"/>
        <v>#VALUE!</v>
      </c>
      <c r="Q20" s="96" t="e">
        <f t="shared" si="21"/>
        <v>#VALUE!</v>
      </c>
      <c r="R20" s="79">
        <f t="shared" si="0"/>
        <v>0</v>
      </c>
      <c r="S20" s="79">
        <f t="shared" si="22"/>
        <v>0</v>
      </c>
      <c r="T20" s="79" t="e">
        <f t="shared" si="36"/>
        <v>#VALUE!</v>
      </c>
      <c r="U20" s="97" t="e">
        <f t="shared" si="2"/>
        <v>#VALUE!</v>
      </c>
      <c r="V20" s="96" t="e">
        <f t="shared" si="23"/>
        <v>#VALUE!</v>
      </c>
      <c r="W20" s="79">
        <f t="shared" si="3"/>
        <v>0</v>
      </c>
      <c r="X20" s="79">
        <f t="shared" si="24"/>
        <v>0</v>
      </c>
      <c r="Y20" s="79" t="e">
        <f t="shared" si="4"/>
        <v>#VALUE!</v>
      </c>
      <c r="Z20" s="97" t="e">
        <f t="shared" si="5"/>
        <v>#VALUE!</v>
      </c>
      <c r="AA20" s="96" t="e">
        <f t="shared" si="25"/>
        <v>#VALUE!</v>
      </c>
      <c r="AB20" s="79">
        <f t="shared" si="6"/>
        <v>0</v>
      </c>
      <c r="AC20" s="79">
        <f t="shared" si="26"/>
        <v>0</v>
      </c>
      <c r="AD20" s="79" t="e">
        <f t="shared" si="7"/>
        <v>#VALUE!</v>
      </c>
      <c r="AE20" s="97" t="e">
        <f t="shared" si="8"/>
        <v>#VALUE!</v>
      </c>
      <c r="AF20" s="96" t="e">
        <f t="shared" si="27"/>
        <v>#VALUE!</v>
      </c>
      <c r="AG20" s="79">
        <f t="shared" si="9"/>
        <v>0</v>
      </c>
      <c r="AH20" s="79">
        <f t="shared" si="28"/>
        <v>0</v>
      </c>
      <c r="AI20" s="79" t="e">
        <f t="shared" si="10"/>
        <v>#VALUE!</v>
      </c>
      <c r="AJ20" s="97" t="e">
        <f t="shared" si="11"/>
        <v>#VALUE!</v>
      </c>
      <c r="AK20" s="96" t="e">
        <f t="shared" si="29"/>
        <v>#VALUE!</v>
      </c>
      <c r="AL20" s="79">
        <f t="shared" si="12"/>
        <v>0</v>
      </c>
      <c r="AM20" s="79">
        <f t="shared" si="30"/>
        <v>0</v>
      </c>
      <c r="AN20" s="79" t="e">
        <f t="shared" si="13"/>
        <v>#VALUE!</v>
      </c>
      <c r="AO20" s="97" t="e">
        <f t="shared" si="14"/>
        <v>#VALUE!</v>
      </c>
      <c r="AP20" s="96" t="e">
        <f t="shared" si="31"/>
        <v>#VALUE!</v>
      </c>
      <c r="AQ20" s="79">
        <f t="shared" si="15"/>
        <v>0</v>
      </c>
      <c r="AR20" s="79">
        <f t="shared" si="32"/>
        <v>0</v>
      </c>
      <c r="AS20" s="79" t="e">
        <f t="shared" si="16"/>
        <v>#VALUE!</v>
      </c>
      <c r="AT20" s="97" t="e">
        <f t="shared" si="17"/>
        <v>#VALUE!</v>
      </c>
      <c r="AU20" s="96" t="e">
        <f t="shared" si="33"/>
        <v>#VALUE!</v>
      </c>
      <c r="AV20" s="79">
        <f t="shared" si="18"/>
        <v>0</v>
      </c>
      <c r="AW20" s="79">
        <f t="shared" si="34"/>
        <v>0</v>
      </c>
      <c r="AX20" s="79" t="e">
        <f t="shared" si="19"/>
        <v>#VALUE!</v>
      </c>
      <c r="AY20" s="97" t="e">
        <f t="shared" si="20"/>
        <v>#VALUE!</v>
      </c>
    </row>
    <row r="21" spans="1:51" s="49" customFormat="1" ht="10.5" customHeight="1" x14ac:dyDescent="0.2">
      <c r="A21" s="170" t="str">
        <f>DATOS!E$5</f>
        <v>hora</v>
      </c>
      <c r="B21" s="170"/>
      <c r="C21" s="170"/>
      <c r="D21" s="171"/>
      <c r="E21" s="170"/>
      <c r="G21" s="56" t="str">
        <f>"Costo de servidor ocupado/"&amp;E4</f>
        <v>Costo de servidor ocupado/hora</v>
      </c>
      <c r="J21" s="52" t="s">
        <v>45</v>
      </c>
      <c r="K21" s="102" t="str">
        <f>IFERROR(csoc*cl*K10,"Otro modelo")</f>
        <v>Otro modelo</v>
      </c>
      <c r="L21" s="53" t="str">
        <f t="shared" ref="L21:L27" si="37">"$/"&amp;$E$4</f>
        <v>$/hora</v>
      </c>
      <c r="M21" s="75">
        <v>13</v>
      </c>
      <c r="N21" s="78" t="str">
        <f>IF(E12&lt;&gt;"M",Q21,"")</f>
        <v/>
      </c>
      <c r="O21" s="78" t="e">
        <f t="shared" si="35"/>
        <v>#VALUE!</v>
      </c>
      <c r="Q21" s="96" t="e">
        <f t="shared" si="21"/>
        <v>#VALUE!</v>
      </c>
      <c r="R21" s="79">
        <f t="shared" si="0"/>
        <v>0</v>
      </c>
      <c r="S21" s="79">
        <f t="shared" si="22"/>
        <v>0</v>
      </c>
      <c r="T21" s="79" t="e">
        <f t="shared" si="36"/>
        <v>#VALUE!</v>
      </c>
      <c r="U21" s="97" t="e">
        <f t="shared" si="2"/>
        <v>#VALUE!</v>
      </c>
      <c r="V21" s="96" t="e">
        <f t="shared" si="23"/>
        <v>#VALUE!</v>
      </c>
      <c r="W21" s="79">
        <f t="shared" si="3"/>
        <v>0</v>
      </c>
      <c r="X21" s="79">
        <f t="shared" si="24"/>
        <v>0</v>
      </c>
      <c r="Y21" s="79" t="e">
        <f t="shared" si="4"/>
        <v>#VALUE!</v>
      </c>
      <c r="Z21" s="97" t="e">
        <f t="shared" si="5"/>
        <v>#VALUE!</v>
      </c>
      <c r="AA21" s="96" t="e">
        <f t="shared" si="25"/>
        <v>#VALUE!</v>
      </c>
      <c r="AB21" s="79">
        <f t="shared" si="6"/>
        <v>0</v>
      </c>
      <c r="AC21" s="79">
        <f t="shared" si="26"/>
        <v>0</v>
      </c>
      <c r="AD21" s="79" t="e">
        <f t="shared" si="7"/>
        <v>#VALUE!</v>
      </c>
      <c r="AE21" s="97" t="e">
        <f t="shared" si="8"/>
        <v>#VALUE!</v>
      </c>
      <c r="AF21" s="96" t="e">
        <f t="shared" si="27"/>
        <v>#VALUE!</v>
      </c>
      <c r="AG21" s="79">
        <f t="shared" si="9"/>
        <v>0</v>
      </c>
      <c r="AH21" s="79">
        <f t="shared" si="28"/>
        <v>0</v>
      </c>
      <c r="AI21" s="79" t="e">
        <f t="shared" si="10"/>
        <v>#VALUE!</v>
      </c>
      <c r="AJ21" s="97" t="e">
        <f t="shared" si="11"/>
        <v>#VALUE!</v>
      </c>
      <c r="AK21" s="96" t="e">
        <f t="shared" si="29"/>
        <v>#VALUE!</v>
      </c>
      <c r="AL21" s="79">
        <f t="shared" si="12"/>
        <v>0</v>
      </c>
      <c r="AM21" s="79">
        <f t="shared" si="30"/>
        <v>0</v>
      </c>
      <c r="AN21" s="79" t="e">
        <f t="shared" si="13"/>
        <v>#VALUE!</v>
      </c>
      <c r="AO21" s="97" t="e">
        <f t="shared" si="14"/>
        <v>#VALUE!</v>
      </c>
      <c r="AP21" s="96" t="e">
        <f t="shared" si="31"/>
        <v>#VALUE!</v>
      </c>
      <c r="AQ21" s="79">
        <f t="shared" si="15"/>
        <v>0</v>
      </c>
      <c r="AR21" s="79">
        <f t="shared" si="32"/>
        <v>0</v>
      </c>
      <c r="AS21" s="79" t="e">
        <f t="shared" si="16"/>
        <v>#VALUE!</v>
      </c>
      <c r="AT21" s="97" t="e">
        <f t="shared" si="17"/>
        <v>#VALUE!</v>
      </c>
      <c r="AU21" s="96" t="e">
        <f t="shared" si="33"/>
        <v>#VALUE!</v>
      </c>
      <c r="AV21" s="79">
        <f t="shared" si="18"/>
        <v>0</v>
      </c>
      <c r="AW21" s="79">
        <f t="shared" si="34"/>
        <v>0</v>
      </c>
      <c r="AX21" s="79" t="e">
        <f t="shared" si="19"/>
        <v>#VALUE!</v>
      </c>
      <c r="AY21" s="97" t="e">
        <f t="shared" si="20"/>
        <v>#VALUE!</v>
      </c>
    </row>
    <row r="22" spans="1:51" s="49" customFormat="1" ht="10.5" customHeight="1" x14ac:dyDescent="0.2">
      <c r="A22" s="170" t="str">
        <f>DATOS!E$5</f>
        <v>hora</v>
      </c>
      <c r="B22" s="170"/>
      <c r="C22" s="170"/>
      <c r="D22" s="171"/>
      <c r="E22" s="170"/>
      <c r="G22" s="62" t="str">
        <f>"Costo de servidor libre/"&amp;E4</f>
        <v>Costo de servidor libre/hora</v>
      </c>
      <c r="H22" s="63"/>
      <c r="I22" s="64"/>
      <c r="J22" s="54" t="s">
        <v>46</v>
      </c>
      <c r="K22" s="103" t="str">
        <f>IFERROR(csli*cl*(1-K10),"Otro modelo")</f>
        <v>Otro modelo</v>
      </c>
      <c r="L22" s="55" t="str">
        <f t="shared" si="37"/>
        <v>$/hora</v>
      </c>
      <c r="M22" s="75">
        <v>14</v>
      </c>
      <c r="N22" s="78" t="str">
        <f>IF(E12&lt;&gt;"M",Q22,"")</f>
        <v/>
      </c>
      <c r="O22" s="78" t="e">
        <f t="shared" si="35"/>
        <v>#VALUE!</v>
      </c>
      <c r="Q22" s="96" t="e">
        <f t="shared" si="21"/>
        <v>#VALUE!</v>
      </c>
      <c r="R22" s="79">
        <f t="shared" si="0"/>
        <v>0</v>
      </c>
      <c r="S22" s="79">
        <f t="shared" si="22"/>
        <v>0</v>
      </c>
      <c r="T22" s="79" t="e">
        <f t="shared" si="36"/>
        <v>#VALUE!</v>
      </c>
      <c r="U22" s="97" t="e">
        <f t="shared" si="2"/>
        <v>#VALUE!</v>
      </c>
      <c r="V22" s="96" t="e">
        <f t="shared" si="23"/>
        <v>#VALUE!</v>
      </c>
      <c r="W22" s="79">
        <f t="shared" si="3"/>
        <v>0</v>
      </c>
      <c r="X22" s="79">
        <f t="shared" si="24"/>
        <v>0</v>
      </c>
      <c r="Y22" s="79" t="e">
        <f t="shared" si="4"/>
        <v>#VALUE!</v>
      </c>
      <c r="Z22" s="97" t="e">
        <f t="shared" si="5"/>
        <v>#VALUE!</v>
      </c>
      <c r="AA22" s="96" t="e">
        <f t="shared" si="25"/>
        <v>#VALUE!</v>
      </c>
      <c r="AB22" s="79">
        <f t="shared" si="6"/>
        <v>0</v>
      </c>
      <c r="AC22" s="79">
        <f t="shared" si="26"/>
        <v>0</v>
      </c>
      <c r="AD22" s="79" t="e">
        <f t="shared" si="7"/>
        <v>#VALUE!</v>
      </c>
      <c r="AE22" s="97" t="e">
        <f t="shared" si="8"/>
        <v>#VALUE!</v>
      </c>
      <c r="AF22" s="96" t="e">
        <f t="shared" si="27"/>
        <v>#VALUE!</v>
      </c>
      <c r="AG22" s="79">
        <f t="shared" si="9"/>
        <v>0</v>
      </c>
      <c r="AH22" s="79">
        <f t="shared" si="28"/>
        <v>0</v>
      </c>
      <c r="AI22" s="79" t="e">
        <f t="shared" si="10"/>
        <v>#VALUE!</v>
      </c>
      <c r="AJ22" s="97" t="e">
        <f t="shared" si="11"/>
        <v>#VALUE!</v>
      </c>
      <c r="AK22" s="96" t="e">
        <f t="shared" si="29"/>
        <v>#VALUE!</v>
      </c>
      <c r="AL22" s="79">
        <f t="shared" si="12"/>
        <v>0</v>
      </c>
      <c r="AM22" s="79">
        <f t="shared" si="30"/>
        <v>0</v>
      </c>
      <c r="AN22" s="79" t="e">
        <f t="shared" si="13"/>
        <v>#VALUE!</v>
      </c>
      <c r="AO22" s="97" t="e">
        <f t="shared" si="14"/>
        <v>#VALUE!</v>
      </c>
      <c r="AP22" s="96" t="e">
        <f t="shared" si="31"/>
        <v>#VALUE!</v>
      </c>
      <c r="AQ22" s="79">
        <f t="shared" si="15"/>
        <v>0</v>
      </c>
      <c r="AR22" s="79">
        <f t="shared" si="32"/>
        <v>0</v>
      </c>
      <c r="AS22" s="79" t="e">
        <f t="shared" si="16"/>
        <v>#VALUE!</v>
      </c>
      <c r="AT22" s="97" t="e">
        <f t="shared" si="17"/>
        <v>#VALUE!</v>
      </c>
      <c r="AU22" s="96" t="e">
        <f t="shared" si="33"/>
        <v>#VALUE!</v>
      </c>
      <c r="AV22" s="79">
        <f t="shared" si="18"/>
        <v>0</v>
      </c>
      <c r="AW22" s="79">
        <f t="shared" si="34"/>
        <v>0</v>
      </c>
      <c r="AX22" s="79" t="e">
        <f t="shared" si="19"/>
        <v>#VALUE!</v>
      </c>
      <c r="AY22" s="97" t="e">
        <f t="shared" si="20"/>
        <v>#VALUE!</v>
      </c>
    </row>
    <row r="23" spans="1:51" s="49" customFormat="1" ht="10.5" customHeight="1" x14ac:dyDescent="0.2">
      <c r="A23" s="170" t="str">
        <f>DATOS!E$5</f>
        <v>hora</v>
      </c>
      <c r="B23" s="170"/>
      <c r="C23" s="170"/>
      <c r="D23" s="171"/>
      <c r="E23" s="170"/>
      <c r="G23" s="56" t="str">
        <f>"Costo de cliente en servicio/"&amp;E4</f>
        <v>Costo de cliente en servicio/hora</v>
      </c>
      <c r="J23" s="52" t="s">
        <v>47</v>
      </c>
      <c r="K23" s="102" t="str">
        <f>IFERROR(cclate*(K11-K12),"Otro modelo")</f>
        <v>Otro modelo</v>
      </c>
      <c r="L23" s="53" t="str">
        <f t="shared" si="37"/>
        <v>$/hora</v>
      </c>
      <c r="M23" s="75">
        <v>15</v>
      </c>
      <c r="N23" s="78" t="str">
        <f>IF(E12&lt;&gt;"M",Q23,"")</f>
        <v/>
      </c>
      <c r="O23" s="78" t="e">
        <f t="shared" si="35"/>
        <v>#VALUE!</v>
      </c>
      <c r="Q23" s="96" t="e">
        <f t="shared" si="21"/>
        <v>#VALUE!</v>
      </c>
      <c r="R23" s="79">
        <f t="shared" si="0"/>
        <v>0</v>
      </c>
      <c r="S23" s="79">
        <f t="shared" si="22"/>
        <v>0</v>
      </c>
      <c r="T23" s="79" t="e">
        <f t="shared" si="36"/>
        <v>#VALUE!</v>
      </c>
      <c r="U23" s="97" t="e">
        <f t="shared" si="2"/>
        <v>#VALUE!</v>
      </c>
      <c r="V23" s="96" t="e">
        <f t="shared" si="23"/>
        <v>#VALUE!</v>
      </c>
      <c r="W23" s="79">
        <f t="shared" si="3"/>
        <v>0</v>
      </c>
      <c r="X23" s="79">
        <f t="shared" si="24"/>
        <v>0</v>
      </c>
      <c r="Y23" s="79" t="e">
        <f t="shared" si="4"/>
        <v>#VALUE!</v>
      </c>
      <c r="Z23" s="97" t="e">
        <f t="shared" si="5"/>
        <v>#VALUE!</v>
      </c>
      <c r="AA23" s="96" t="e">
        <f t="shared" si="25"/>
        <v>#VALUE!</v>
      </c>
      <c r="AB23" s="79">
        <f t="shared" si="6"/>
        <v>0</v>
      </c>
      <c r="AC23" s="79">
        <f t="shared" si="26"/>
        <v>0</v>
      </c>
      <c r="AD23" s="79" t="e">
        <f t="shared" si="7"/>
        <v>#VALUE!</v>
      </c>
      <c r="AE23" s="97" t="e">
        <f t="shared" si="8"/>
        <v>#VALUE!</v>
      </c>
      <c r="AF23" s="96" t="e">
        <f t="shared" si="27"/>
        <v>#VALUE!</v>
      </c>
      <c r="AG23" s="79">
        <f t="shared" si="9"/>
        <v>0</v>
      </c>
      <c r="AH23" s="79">
        <f t="shared" si="28"/>
        <v>0</v>
      </c>
      <c r="AI23" s="79" t="e">
        <f t="shared" si="10"/>
        <v>#VALUE!</v>
      </c>
      <c r="AJ23" s="97" t="e">
        <f t="shared" si="11"/>
        <v>#VALUE!</v>
      </c>
      <c r="AK23" s="96" t="e">
        <f t="shared" si="29"/>
        <v>#VALUE!</v>
      </c>
      <c r="AL23" s="79">
        <f t="shared" si="12"/>
        <v>0</v>
      </c>
      <c r="AM23" s="79">
        <f t="shared" si="30"/>
        <v>0</v>
      </c>
      <c r="AN23" s="79" t="e">
        <f t="shared" si="13"/>
        <v>#VALUE!</v>
      </c>
      <c r="AO23" s="97" t="e">
        <f t="shared" si="14"/>
        <v>#VALUE!</v>
      </c>
      <c r="AP23" s="96" t="e">
        <f t="shared" si="31"/>
        <v>#VALUE!</v>
      </c>
      <c r="AQ23" s="79">
        <f t="shared" si="15"/>
        <v>0</v>
      </c>
      <c r="AR23" s="79">
        <f t="shared" si="32"/>
        <v>0</v>
      </c>
      <c r="AS23" s="79" t="e">
        <f t="shared" si="16"/>
        <v>#VALUE!</v>
      </c>
      <c r="AT23" s="97" t="e">
        <f t="shared" si="17"/>
        <v>#VALUE!</v>
      </c>
      <c r="AU23" s="96" t="e">
        <f t="shared" si="33"/>
        <v>#VALUE!</v>
      </c>
      <c r="AV23" s="79">
        <f t="shared" si="18"/>
        <v>0</v>
      </c>
      <c r="AW23" s="79">
        <f t="shared" si="34"/>
        <v>0</v>
      </c>
      <c r="AX23" s="79" t="e">
        <f t="shared" si="19"/>
        <v>#VALUE!</v>
      </c>
      <c r="AY23" s="97" t="e">
        <f t="shared" si="20"/>
        <v>#VALUE!</v>
      </c>
    </row>
    <row r="24" spans="1:51" s="49" customFormat="1" ht="10.5" customHeight="1" x14ac:dyDescent="0.2">
      <c r="A24" s="170" t="str">
        <f>DATOS!E$5</f>
        <v>hora</v>
      </c>
      <c r="B24" s="170"/>
      <c r="C24" s="170"/>
      <c r="D24" s="171"/>
      <c r="E24" s="170"/>
      <c r="G24" s="62" t="str">
        <f>"Costo de cliente en espera/"&amp;E4</f>
        <v>Costo de cliente en espera/hora</v>
      </c>
      <c r="H24" s="63"/>
      <c r="I24" s="64"/>
      <c r="J24" s="54" t="s">
        <v>48</v>
      </c>
      <c r="K24" s="103" t="str">
        <f>IFERROR(cclesp*K12,"Otro modelo")</f>
        <v>Otro modelo</v>
      </c>
      <c r="L24" s="55" t="str">
        <f t="shared" si="37"/>
        <v>$/hora</v>
      </c>
      <c r="M24" s="75">
        <v>16</v>
      </c>
      <c r="N24" s="78" t="str">
        <f>IF(E12&lt;&gt;"M",Q24,"")</f>
        <v/>
      </c>
      <c r="O24" s="78" t="e">
        <f t="shared" si="35"/>
        <v>#VALUE!</v>
      </c>
      <c r="Q24" s="96" t="e">
        <f t="shared" si="21"/>
        <v>#VALUE!</v>
      </c>
      <c r="R24" s="79">
        <f t="shared" si="0"/>
        <v>0</v>
      </c>
      <c r="S24" s="79">
        <f t="shared" si="22"/>
        <v>0</v>
      </c>
      <c r="T24" s="79" t="e">
        <f t="shared" si="36"/>
        <v>#VALUE!</v>
      </c>
      <c r="U24" s="97" t="e">
        <f t="shared" si="2"/>
        <v>#VALUE!</v>
      </c>
      <c r="V24" s="96" t="e">
        <f t="shared" si="23"/>
        <v>#VALUE!</v>
      </c>
      <c r="W24" s="79">
        <f t="shared" si="3"/>
        <v>0</v>
      </c>
      <c r="X24" s="79">
        <f t="shared" si="24"/>
        <v>0</v>
      </c>
      <c r="Y24" s="79" t="e">
        <f t="shared" si="4"/>
        <v>#VALUE!</v>
      </c>
      <c r="Z24" s="97" t="e">
        <f t="shared" si="5"/>
        <v>#VALUE!</v>
      </c>
      <c r="AA24" s="96" t="e">
        <f t="shared" si="25"/>
        <v>#VALUE!</v>
      </c>
      <c r="AB24" s="79">
        <f t="shared" si="6"/>
        <v>0</v>
      </c>
      <c r="AC24" s="79">
        <f t="shared" si="26"/>
        <v>0</v>
      </c>
      <c r="AD24" s="79" t="e">
        <f t="shared" si="7"/>
        <v>#VALUE!</v>
      </c>
      <c r="AE24" s="97" t="e">
        <f t="shared" si="8"/>
        <v>#VALUE!</v>
      </c>
      <c r="AF24" s="96" t="e">
        <f t="shared" si="27"/>
        <v>#VALUE!</v>
      </c>
      <c r="AG24" s="79">
        <f t="shared" si="9"/>
        <v>0</v>
      </c>
      <c r="AH24" s="79">
        <f t="shared" si="28"/>
        <v>0</v>
      </c>
      <c r="AI24" s="79" t="e">
        <f t="shared" si="10"/>
        <v>#VALUE!</v>
      </c>
      <c r="AJ24" s="97" t="e">
        <f t="shared" si="11"/>
        <v>#VALUE!</v>
      </c>
      <c r="AK24" s="96" t="e">
        <f t="shared" si="29"/>
        <v>#VALUE!</v>
      </c>
      <c r="AL24" s="79">
        <f t="shared" si="12"/>
        <v>0</v>
      </c>
      <c r="AM24" s="79">
        <f t="shared" si="30"/>
        <v>0</v>
      </c>
      <c r="AN24" s="79" t="e">
        <f t="shared" si="13"/>
        <v>#VALUE!</v>
      </c>
      <c r="AO24" s="97" t="e">
        <f t="shared" si="14"/>
        <v>#VALUE!</v>
      </c>
      <c r="AP24" s="96" t="e">
        <f t="shared" si="31"/>
        <v>#VALUE!</v>
      </c>
      <c r="AQ24" s="79">
        <f t="shared" si="15"/>
        <v>0</v>
      </c>
      <c r="AR24" s="79">
        <f t="shared" si="32"/>
        <v>0</v>
      </c>
      <c r="AS24" s="79" t="e">
        <f t="shared" si="16"/>
        <v>#VALUE!</v>
      </c>
      <c r="AT24" s="97" t="e">
        <f t="shared" si="17"/>
        <v>#VALUE!</v>
      </c>
      <c r="AU24" s="96" t="e">
        <f t="shared" si="33"/>
        <v>#VALUE!</v>
      </c>
      <c r="AV24" s="79">
        <f t="shared" si="18"/>
        <v>0</v>
      </c>
      <c r="AW24" s="79">
        <f t="shared" si="34"/>
        <v>0</v>
      </c>
      <c r="AX24" s="79" t="e">
        <f t="shared" si="19"/>
        <v>#VALUE!</v>
      </c>
      <c r="AY24" s="97" t="e">
        <f t="shared" si="20"/>
        <v>#VALUE!</v>
      </c>
    </row>
    <row r="25" spans="1:51" s="49" customFormat="1" ht="10.5" customHeight="1" x14ac:dyDescent="0.2">
      <c r="A25" s="170" t="str">
        <f>DATOS!E$5</f>
        <v>hora</v>
      </c>
      <c r="B25" s="170"/>
      <c r="C25" s="170"/>
      <c r="D25" s="171"/>
      <c r="E25" s="170"/>
      <c r="G25" s="66" t="str">
        <f>"Costo de cliente rechazado/"&amp;E4</f>
        <v>Costo de cliente rechazado/hora</v>
      </c>
      <c r="H25" s="67"/>
      <c r="I25" s="68"/>
      <c r="J25" s="52" t="s">
        <v>50</v>
      </c>
      <c r="K25" s="102"/>
      <c r="L25" s="53" t="str">
        <f t="shared" si="37"/>
        <v>$/hora</v>
      </c>
      <c r="M25" s="75">
        <v>17</v>
      </c>
      <c r="N25" s="78" t="str">
        <f>IF(E12&lt;&gt;"M",Q25,"")</f>
        <v/>
      </c>
      <c r="O25" s="78" t="e">
        <f t="shared" si="35"/>
        <v>#VALUE!</v>
      </c>
      <c r="Q25" s="96" t="e">
        <f t="shared" si="21"/>
        <v>#VALUE!</v>
      </c>
      <c r="R25" s="79">
        <f t="shared" si="0"/>
        <v>0</v>
      </c>
      <c r="S25" s="79">
        <f t="shared" si="22"/>
        <v>0</v>
      </c>
      <c r="T25" s="79" t="e">
        <f t="shared" si="36"/>
        <v>#VALUE!</v>
      </c>
      <c r="U25" s="97" t="e">
        <f t="shared" si="2"/>
        <v>#VALUE!</v>
      </c>
      <c r="V25" s="96" t="e">
        <f t="shared" si="23"/>
        <v>#VALUE!</v>
      </c>
      <c r="W25" s="79">
        <f t="shared" si="3"/>
        <v>0</v>
      </c>
      <c r="X25" s="79">
        <f t="shared" si="24"/>
        <v>0</v>
      </c>
      <c r="Y25" s="79" t="e">
        <f t="shared" si="4"/>
        <v>#VALUE!</v>
      </c>
      <c r="Z25" s="97" t="e">
        <f t="shared" si="5"/>
        <v>#VALUE!</v>
      </c>
      <c r="AA25" s="96" t="e">
        <f t="shared" si="25"/>
        <v>#VALUE!</v>
      </c>
      <c r="AB25" s="79">
        <f t="shared" si="6"/>
        <v>0</v>
      </c>
      <c r="AC25" s="79">
        <f t="shared" si="26"/>
        <v>0</v>
      </c>
      <c r="AD25" s="79" t="e">
        <f t="shared" si="7"/>
        <v>#VALUE!</v>
      </c>
      <c r="AE25" s="97" t="e">
        <f t="shared" si="8"/>
        <v>#VALUE!</v>
      </c>
      <c r="AF25" s="96" t="e">
        <f t="shared" si="27"/>
        <v>#VALUE!</v>
      </c>
      <c r="AG25" s="79">
        <f t="shared" si="9"/>
        <v>0</v>
      </c>
      <c r="AH25" s="79">
        <f t="shared" si="28"/>
        <v>0</v>
      </c>
      <c r="AI25" s="79" t="e">
        <f t="shared" si="10"/>
        <v>#VALUE!</v>
      </c>
      <c r="AJ25" s="97" t="e">
        <f t="shared" si="11"/>
        <v>#VALUE!</v>
      </c>
      <c r="AK25" s="96" t="e">
        <f t="shared" si="29"/>
        <v>#VALUE!</v>
      </c>
      <c r="AL25" s="79">
        <f t="shared" si="12"/>
        <v>0</v>
      </c>
      <c r="AM25" s="79">
        <f t="shared" si="30"/>
        <v>0</v>
      </c>
      <c r="AN25" s="79" t="e">
        <f t="shared" si="13"/>
        <v>#VALUE!</v>
      </c>
      <c r="AO25" s="97" t="e">
        <f t="shared" si="14"/>
        <v>#VALUE!</v>
      </c>
      <c r="AP25" s="96" t="e">
        <f t="shared" si="31"/>
        <v>#VALUE!</v>
      </c>
      <c r="AQ25" s="79">
        <f t="shared" si="15"/>
        <v>0</v>
      </c>
      <c r="AR25" s="79">
        <f t="shared" si="32"/>
        <v>0</v>
      </c>
      <c r="AS25" s="79" t="e">
        <f t="shared" si="16"/>
        <v>#VALUE!</v>
      </c>
      <c r="AT25" s="97" t="e">
        <f t="shared" si="17"/>
        <v>#VALUE!</v>
      </c>
      <c r="AU25" s="96" t="e">
        <f t="shared" si="33"/>
        <v>#VALUE!</v>
      </c>
      <c r="AV25" s="79">
        <f t="shared" si="18"/>
        <v>0</v>
      </c>
      <c r="AW25" s="79">
        <f t="shared" si="34"/>
        <v>0</v>
      </c>
      <c r="AX25" s="79" t="e">
        <f t="shared" si="19"/>
        <v>#VALUE!</v>
      </c>
      <c r="AY25" s="97" t="e">
        <f t="shared" si="20"/>
        <v>#VALUE!</v>
      </c>
    </row>
    <row r="26" spans="1:51" s="49" customFormat="1" ht="10.5" customHeight="1" x14ac:dyDescent="0.2">
      <c r="A26" s="170" t="str">
        <f>DATOS!E$5</f>
        <v>hora</v>
      </c>
      <c r="B26" s="170"/>
      <c r="C26" s="170"/>
      <c r="D26" s="171"/>
      <c r="E26" s="170"/>
      <c r="G26" s="62" t="str">
        <f>"Costo de espacio de cola/"&amp;E4</f>
        <v>Costo de espacio de cola/hora</v>
      </c>
      <c r="H26" s="63"/>
      <c r="I26" s="64"/>
      <c r="J26" s="54" t="s">
        <v>51</v>
      </c>
      <c r="K26" s="103"/>
      <c r="L26" s="55" t="str">
        <f t="shared" si="37"/>
        <v>$/hora</v>
      </c>
      <c r="M26" s="75">
        <v>18</v>
      </c>
      <c r="N26" s="78" t="str">
        <f>IF(E12&lt;&gt;"M",Q26,"")</f>
        <v/>
      </c>
      <c r="O26" s="78" t="e">
        <f t="shared" si="35"/>
        <v>#VALUE!</v>
      </c>
      <c r="Q26" s="96" t="e">
        <f t="shared" si="21"/>
        <v>#VALUE!</v>
      </c>
      <c r="R26" s="79">
        <f t="shared" si="0"/>
        <v>0</v>
      </c>
      <c r="S26" s="79">
        <f t="shared" si="22"/>
        <v>0</v>
      </c>
      <c r="T26" s="79" t="e">
        <f t="shared" si="36"/>
        <v>#VALUE!</v>
      </c>
      <c r="U26" s="97" t="e">
        <f t="shared" si="2"/>
        <v>#VALUE!</v>
      </c>
      <c r="V26" s="96" t="e">
        <f t="shared" si="23"/>
        <v>#VALUE!</v>
      </c>
      <c r="W26" s="79">
        <f t="shared" si="3"/>
        <v>0</v>
      </c>
      <c r="X26" s="79">
        <f t="shared" si="24"/>
        <v>0</v>
      </c>
      <c r="Y26" s="79" t="e">
        <f t="shared" si="4"/>
        <v>#VALUE!</v>
      </c>
      <c r="Z26" s="97" t="e">
        <f t="shared" si="5"/>
        <v>#VALUE!</v>
      </c>
      <c r="AA26" s="96" t="e">
        <f t="shared" si="25"/>
        <v>#VALUE!</v>
      </c>
      <c r="AB26" s="79">
        <f t="shared" si="6"/>
        <v>0</v>
      </c>
      <c r="AC26" s="79">
        <f t="shared" si="26"/>
        <v>0</v>
      </c>
      <c r="AD26" s="79" t="e">
        <f t="shared" si="7"/>
        <v>#VALUE!</v>
      </c>
      <c r="AE26" s="97" t="e">
        <f t="shared" si="8"/>
        <v>#VALUE!</v>
      </c>
      <c r="AF26" s="96" t="e">
        <f t="shared" si="27"/>
        <v>#VALUE!</v>
      </c>
      <c r="AG26" s="79">
        <f t="shared" si="9"/>
        <v>0</v>
      </c>
      <c r="AH26" s="79">
        <f t="shared" si="28"/>
        <v>0</v>
      </c>
      <c r="AI26" s="79" t="e">
        <f t="shared" si="10"/>
        <v>#VALUE!</v>
      </c>
      <c r="AJ26" s="97" t="e">
        <f t="shared" si="11"/>
        <v>#VALUE!</v>
      </c>
      <c r="AK26" s="96" t="e">
        <f t="shared" si="29"/>
        <v>#VALUE!</v>
      </c>
      <c r="AL26" s="79">
        <f t="shared" si="12"/>
        <v>0</v>
      </c>
      <c r="AM26" s="79">
        <f t="shared" si="30"/>
        <v>0</v>
      </c>
      <c r="AN26" s="79" t="e">
        <f t="shared" si="13"/>
        <v>#VALUE!</v>
      </c>
      <c r="AO26" s="97" t="e">
        <f t="shared" si="14"/>
        <v>#VALUE!</v>
      </c>
      <c r="AP26" s="96" t="e">
        <f t="shared" si="31"/>
        <v>#VALUE!</v>
      </c>
      <c r="AQ26" s="79">
        <f t="shared" si="15"/>
        <v>0</v>
      </c>
      <c r="AR26" s="79">
        <f t="shared" si="32"/>
        <v>0</v>
      </c>
      <c r="AS26" s="79" t="e">
        <f t="shared" si="16"/>
        <v>#VALUE!</v>
      </c>
      <c r="AT26" s="97" t="e">
        <f t="shared" si="17"/>
        <v>#VALUE!</v>
      </c>
      <c r="AU26" s="96" t="e">
        <f t="shared" si="33"/>
        <v>#VALUE!</v>
      </c>
      <c r="AV26" s="79">
        <f t="shared" si="18"/>
        <v>0</v>
      </c>
      <c r="AW26" s="79">
        <f t="shared" si="34"/>
        <v>0</v>
      </c>
      <c r="AX26" s="79" t="e">
        <f t="shared" si="19"/>
        <v>#VALUE!</v>
      </c>
      <c r="AY26" s="97" t="e">
        <f t="shared" si="20"/>
        <v>#VALUE!</v>
      </c>
    </row>
    <row r="27" spans="1:51" s="49" customFormat="1" ht="10.5" customHeight="1" x14ac:dyDescent="0.2">
      <c r="A27" s="170" t="str">
        <f>DATOS!E$5</f>
        <v>hora</v>
      </c>
      <c r="B27" s="170"/>
      <c r="C27" s="170"/>
      <c r="D27" s="171"/>
      <c r="E27" s="170"/>
      <c r="G27" s="69" t="str">
        <f>"Costo total del sistema/"&amp;E4</f>
        <v>Costo total del sistema/hora</v>
      </c>
      <c r="H27" s="70"/>
      <c r="I27" s="70"/>
      <c r="J27" s="52" t="s">
        <v>52</v>
      </c>
      <c r="K27" s="104">
        <f>SUM(K21:K26)</f>
        <v>0</v>
      </c>
      <c r="L27" s="53" t="str">
        <f t="shared" si="37"/>
        <v>$/hora</v>
      </c>
      <c r="M27" s="75">
        <v>19</v>
      </c>
      <c r="N27" s="78" t="str">
        <f>IF(E12&lt;&gt;"M",Q27,"")</f>
        <v/>
      </c>
      <c r="O27" s="78" t="e">
        <f t="shared" si="35"/>
        <v>#VALUE!</v>
      </c>
      <c r="Q27" s="96" t="e">
        <f t="shared" si="21"/>
        <v>#VALUE!</v>
      </c>
      <c r="R27" s="79">
        <f t="shared" si="0"/>
        <v>0</v>
      </c>
      <c r="S27" s="79">
        <f t="shared" si="22"/>
        <v>0</v>
      </c>
      <c r="T27" s="79" t="e">
        <f t="shared" si="36"/>
        <v>#VALUE!</v>
      </c>
      <c r="U27" s="97" t="e">
        <f t="shared" si="2"/>
        <v>#VALUE!</v>
      </c>
      <c r="V27" s="96" t="e">
        <f t="shared" si="23"/>
        <v>#VALUE!</v>
      </c>
      <c r="W27" s="79">
        <f t="shared" si="3"/>
        <v>0</v>
      </c>
      <c r="X27" s="79">
        <f t="shared" si="24"/>
        <v>0</v>
      </c>
      <c r="Y27" s="79" t="e">
        <f t="shared" si="4"/>
        <v>#VALUE!</v>
      </c>
      <c r="Z27" s="97" t="e">
        <f t="shared" si="5"/>
        <v>#VALUE!</v>
      </c>
      <c r="AA27" s="96" t="e">
        <f t="shared" si="25"/>
        <v>#VALUE!</v>
      </c>
      <c r="AB27" s="79">
        <f t="shared" si="6"/>
        <v>0</v>
      </c>
      <c r="AC27" s="79">
        <f t="shared" si="26"/>
        <v>0</v>
      </c>
      <c r="AD27" s="79" t="e">
        <f t="shared" si="7"/>
        <v>#VALUE!</v>
      </c>
      <c r="AE27" s="97" t="e">
        <f t="shared" si="8"/>
        <v>#VALUE!</v>
      </c>
      <c r="AF27" s="96" t="e">
        <f t="shared" si="27"/>
        <v>#VALUE!</v>
      </c>
      <c r="AG27" s="79">
        <f t="shared" si="9"/>
        <v>0</v>
      </c>
      <c r="AH27" s="79">
        <f t="shared" si="28"/>
        <v>0</v>
      </c>
      <c r="AI27" s="79" t="e">
        <f t="shared" si="10"/>
        <v>#VALUE!</v>
      </c>
      <c r="AJ27" s="97" t="e">
        <f t="shared" si="11"/>
        <v>#VALUE!</v>
      </c>
      <c r="AK27" s="96" t="e">
        <f t="shared" si="29"/>
        <v>#VALUE!</v>
      </c>
      <c r="AL27" s="79">
        <f t="shared" si="12"/>
        <v>0</v>
      </c>
      <c r="AM27" s="79">
        <f t="shared" si="30"/>
        <v>0</v>
      </c>
      <c r="AN27" s="79" t="e">
        <f t="shared" si="13"/>
        <v>#VALUE!</v>
      </c>
      <c r="AO27" s="97" t="e">
        <f t="shared" si="14"/>
        <v>#VALUE!</v>
      </c>
      <c r="AP27" s="96" t="e">
        <f t="shared" si="31"/>
        <v>#VALUE!</v>
      </c>
      <c r="AQ27" s="79">
        <f t="shared" si="15"/>
        <v>0</v>
      </c>
      <c r="AR27" s="79">
        <f t="shared" si="32"/>
        <v>0</v>
      </c>
      <c r="AS27" s="79" t="e">
        <f t="shared" si="16"/>
        <v>#VALUE!</v>
      </c>
      <c r="AT27" s="97" t="e">
        <f t="shared" si="17"/>
        <v>#VALUE!</v>
      </c>
      <c r="AU27" s="96" t="e">
        <f t="shared" si="33"/>
        <v>#VALUE!</v>
      </c>
      <c r="AV27" s="79">
        <f t="shared" si="18"/>
        <v>0</v>
      </c>
      <c r="AW27" s="79">
        <f t="shared" si="34"/>
        <v>0</v>
      </c>
      <c r="AX27" s="79" t="e">
        <f t="shared" si="19"/>
        <v>#VALUE!</v>
      </c>
      <c r="AY27" s="97" t="e">
        <f t="shared" si="20"/>
        <v>#VALUE!</v>
      </c>
    </row>
    <row r="28" spans="1:51" s="49" customFormat="1" ht="10.5" customHeight="1" x14ac:dyDescent="0.2">
      <c r="A28" s="170" t="str">
        <f>DATOS!E$5</f>
        <v>hora</v>
      </c>
      <c r="B28" s="170"/>
      <c r="C28" s="170"/>
      <c r="D28" s="171"/>
      <c r="E28" s="170"/>
      <c r="G28" s="66" t="s">
        <v>38</v>
      </c>
      <c r="H28" s="67"/>
      <c r="I28" s="68"/>
      <c r="J28" s="72" t="s">
        <v>41</v>
      </c>
      <c r="K28" s="73">
        <f>+K8/(K9)</f>
        <v>0.90909090909090906</v>
      </c>
      <c r="M28" s="75">
        <v>20</v>
      </c>
      <c r="N28" s="78" t="str">
        <f>IF(E12&lt;&gt;"M",Q28,"")</f>
        <v/>
      </c>
      <c r="O28" s="78" t="e">
        <f t="shared" si="35"/>
        <v>#VALUE!</v>
      </c>
      <c r="Q28" s="96" t="e">
        <f t="shared" si="21"/>
        <v>#VALUE!</v>
      </c>
      <c r="R28" s="79">
        <f t="shared" si="0"/>
        <v>0</v>
      </c>
      <c r="S28" s="79">
        <f t="shared" si="22"/>
        <v>0</v>
      </c>
      <c r="T28" s="79" t="e">
        <f t="shared" si="36"/>
        <v>#VALUE!</v>
      </c>
      <c r="U28" s="97" t="e">
        <f t="shared" si="2"/>
        <v>#VALUE!</v>
      </c>
      <c r="V28" s="96" t="e">
        <f t="shared" si="23"/>
        <v>#VALUE!</v>
      </c>
      <c r="W28" s="79">
        <f t="shared" si="3"/>
        <v>0</v>
      </c>
      <c r="X28" s="79">
        <f t="shared" si="24"/>
        <v>0</v>
      </c>
      <c r="Y28" s="79" t="e">
        <f t="shared" si="4"/>
        <v>#VALUE!</v>
      </c>
      <c r="Z28" s="97" t="e">
        <f t="shared" si="5"/>
        <v>#VALUE!</v>
      </c>
      <c r="AA28" s="96" t="e">
        <f t="shared" si="25"/>
        <v>#VALUE!</v>
      </c>
      <c r="AB28" s="79">
        <f t="shared" si="6"/>
        <v>0</v>
      </c>
      <c r="AC28" s="79">
        <f t="shared" si="26"/>
        <v>0</v>
      </c>
      <c r="AD28" s="79" t="e">
        <f t="shared" si="7"/>
        <v>#VALUE!</v>
      </c>
      <c r="AE28" s="97" t="e">
        <f t="shared" si="8"/>
        <v>#VALUE!</v>
      </c>
      <c r="AF28" s="96" t="e">
        <f t="shared" si="27"/>
        <v>#VALUE!</v>
      </c>
      <c r="AG28" s="79">
        <f t="shared" si="9"/>
        <v>0</v>
      </c>
      <c r="AH28" s="79">
        <f t="shared" si="28"/>
        <v>0</v>
      </c>
      <c r="AI28" s="79" t="e">
        <f t="shared" si="10"/>
        <v>#VALUE!</v>
      </c>
      <c r="AJ28" s="97" t="e">
        <f t="shared" si="11"/>
        <v>#VALUE!</v>
      </c>
      <c r="AK28" s="96" t="e">
        <f t="shared" si="29"/>
        <v>#VALUE!</v>
      </c>
      <c r="AL28" s="79">
        <f t="shared" si="12"/>
        <v>0</v>
      </c>
      <c r="AM28" s="79">
        <f t="shared" si="30"/>
        <v>0</v>
      </c>
      <c r="AN28" s="79" t="e">
        <f t="shared" si="13"/>
        <v>#VALUE!</v>
      </c>
      <c r="AO28" s="97" t="e">
        <f t="shared" si="14"/>
        <v>#VALUE!</v>
      </c>
      <c r="AP28" s="96" t="e">
        <f>IF(M28&lt;=servi5,((AP27*K28*($E$12-$M28+1))/$M28),IF(servi5&lt;$M28,((AP27*K28*($E$12-$M28+1))/servi5),0))</f>
        <v>#VALUE!</v>
      </c>
      <c r="AQ28" s="79">
        <f>IF($M28&lt;servi5,((K28)^$M28)*(FACT($E$12))/(FACT($M28)*FACT($E$12-$M28)),0)</f>
        <v>0</v>
      </c>
      <c r="AR28" s="79">
        <f t="shared" si="32"/>
        <v>0</v>
      </c>
      <c r="AS28" s="79" t="e">
        <f t="shared" si="16"/>
        <v>#VALUE!</v>
      </c>
      <c r="AT28" s="97" t="e">
        <f t="shared" si="17"/>
        <v>#VALUE!</v>
      </c>
      <c r="AU28" s="96" t="e">
        <f>IF(M28&lt;=servi6,((AU27*K28*($E$12-$M28+1))/$M28),IF(servi6&lt;$M28,((AU27*K28*($E$12-$M28+1))/servi6),0))</f>
        <v>#VALUE!</v>
      </c>
      <c r="AV28" s="79">
        <f>IF($M28&lt;servi6,((K28)^$M28)*(FACT($E$12))/(FACT($M28)*FACT($E$12-$M28)),0)</f>
        <v>0</v>
      </c>
      <c r="AW28" s="79">
        <f t="shared" si="34"/>
        <v>0</v>
      </c>
      <c r="AX28" s="79" t="e">
        <f t="shared" si="19"/>
        <v>#VALUE!</v>
      </c>
      <c r="AY28" s="97" t="e">
        <f t="shared" si="20"/>
        <v>#VALUE!</v>
      </c>
    </row>
    <row r="29" spans="1:51" s="49" customFormat="1" ht="10.5" customHeight="1" x14ac:dyDescent="0.2">
      <c r="A29" s="170" t="str">
        <f>DATOS!E$5</f>
        <v>hora</v>
      </c>
      <c r="B29" s="170">
        <f>(Pe0*tau*(gamma^cl))/(FACT(cl)*(1-tau)^2)</f>
        <v>0.2367424242424242</v>
      </c>
      <c r="C29" s="170"/>
      <c r="D29" s="171"/>
      <c r="E29" s="170"/>
      <c r="G29" s="337" t="s">
        <v>39</v>
      </c>
      <c r="H29" s="337"/>
      <c r="I29" s="337"/>
      <c r="J29" s="74" t="s">
        <v>40</v>
      </c>
      <c r="K29" s="73">
        <f>+K8/(cl*K9)</f>
        <v>0.45454545454545453</v>
      </c>
      <c r="M29" s="75">
        <v>21</v>
      </c>
      <c r="N29" s="78" t="str">
        <f>IF(E12&lt;&gt;"M",Q29,"")</f>
        <v/>
      </c>
      <c r="O29" s="78" t="e">
        <f t="shared" si="35"/>
        <v>#VALUE!</v>
      </c>
      <c r="Q29" s="96" t="e">
        <f>IF(M29&lt;=$E$8,((Q28*K28*($E$12-$M29+1))/$M29),IF($E$8&lt;$M29,((Q28*K28*($E$12-$M29+1))/$E$8),0))</f>
        <v>#VALUE!</v>
      </c>
      <c r="R29" s="79">
        <f>IF($M29&lt;$E$8,((K28)^$M29)*(FACT($E$12))/(FACT($M29)*FACT($E$12-$M29)),0)</f>
        <v>0</v>
      </c>
      <c r="S29" s="79">
        <f t="shared" si="22"/>
        <v>0</v>
      </c>
      <c r="T29" s="79" t="e">
        <f t="shared" si="36"/>
        <v>#VALUE!</v>
      </c>
      <c r="U29" s="97" t="e">
        <f t="shared" si="2"/>
        <v>#VALUE!</v>
      </c>
      <c r="V29" s="96" t="e">
        <f>IF(M29&lt;=servi1,((V28*K28*($E$12-$M29+1))/$M29),IF(servi1&lt;$M29,((V28*K28*($E$12-$M29+1))/servi1),0))</f>
        <v>#VALUE!</v>
      </c>
      <c r="W29" s="79">
        <f>IF($M29&lt;servi1,((K28)^$M29)*(FACT($E$12))/(FACT($M29)*FACT($E$12-$M29)),0)</f>
        <v>0</v>
      </c>
      <c r="X29" s="79">
        <f t="shared" si="24"/>
        <v>0</v>
      </c>
      <c r="Y29" s="79" t="e">
        <f>IF(AND($M29&gt;=servi1,$M29&lt;=$E$12),(((K28^($M29))*FACT($E$12))/((FACT(servi1))*(FACT($E$12-$M29))*(servi1^($M29-servi1)))),0)</f>
        <v>#VALUE!</v>
      </c>
      <c r="Z29" s="97" t="e">
        <f t="shared" si="5"/>
        <v>#VALUE!</v>
      </c>
      <c r="AA29" s="96" t="e">
        <f>IF(M29&lt;=servi2,((AA28*K28*($E$12-$M29+1))/$M29),IF(servi2&lt;$M29,((AA28*K28*($E$12-$M29+1))/servi2),0))</f>
        <v>#VALUE!</v>
      </c>
      <c r="AB29" s="79">
        <f>IF($M29&lt;servi2,((K28)^$M29)*(FACT($E$12))/(FACT($M29)*FACT($E$12-$M29)),0)</f>
        <v>0</v>
      </c>
      <c r="AC29" s="79">
        <f t="shared" si="26"/>
        <v>0</v>
      </c>
      <c r="AD29" s="79" t="e">
        <f>IF(AND($M29&gt;=servi2,$M29&lt;=$E$12),(((K28^($M29))*FACT($E$12))/((FACT(servi2))*(FACT($E$12-$M29))*(servi2^($M29-servi2)))),0)</f>
        <v>#VALUE!</v>
      </c>
      <c r="AE29" s="97" t="e">
        <f t="shared" si="8"/>
        <v>#VALUE!</v>
      </c>
      <c r="AF29" s="96" t="e">
        <f>IF(M29&lt;=servi3,((AF28*K28*($E$12-$M29+1))/$M29),IF(servi3&lt;$M29,((AF28*K28*($E$12-$M29+1))/servi3),0))</f>
        <v>#VALUE!</v>
      </c>
      <c r="AG29" s="79">
        <f>IF($M29&lt;servi3,((K28)^$M29)*(FACT($E$12))/(FACT($M29)*FACT($E$12-$M29)),0)</f>
        <v>0</v>
      </c>
      <c r="AH29" s="79">
        <f t="shared" si="28"/>
        <v>0</v>
      </c>
      <c r="AI29" s="79" t="e">
        <f>IF(AND($M29&gt;=servi3,$M29&lt;=$E$12),(((K28^($M29))*FACT($E$12))/((FACT(servi3))*(FACT($E$12-$M29))*(servi3^($M29-servi3)))),0)</f>
        <v>#VALUE!</v>
      </c>
      <c r="AJ29" s="97" t="e">
        <f t="shared" si="11"/>
        <v>#VALUE!</v>
      </c>
      <c r="AK29" s="96" t="e">
        <f>IF(M29&lt;=servi4,((AK28*K28*($E$12-$M29+1))/$M29),IF(servi4&lt;$M29,((AK28*K28*($E$12-$M29+1))/servi4),0))</f>
        <v>#VALUE!</v>
      </c>
      <c r="AL29" s="79">
        <f>IF($M29&lt;servi4,((K28)^$M29)*(FACT($E$12))/(FACT($M29)*FACT($E$12-$M29)),0)</f>
        <v>0</v>
      </c>
      <c r="AM29" s="79">
        <f t="shared" si="30"/>
        <v>0</v>
      </c>
      <c r="AN29" s="79" t="e">
        <f t="shared" si="13"/>
        <v>#VALUE!</v>
      </c>
      <c r="AO29" s="97" t="e">
        <f t="shared" si="14"/>
        <v>#VALUE!</v>
      </c>
      <c r="AP29" s="96" t="e">
        <f>IF(M29&lt;=servi5,((AP28*K28*($E$12-$M29+1))/$M29),IF(servi5&lt;$M29,((AP28*K28*($E$12-$M29+1))/servi5),0))</f>
        <v>#VALUE!</v>
      </c>
      <c r="AQ29" s="79">
        <f>IF($M29&lt;servi5,((K28)^$M29)*(FACT($E$12))/(FACT($M29)*FACT($E$12-$M29)),0)</f>
        <v>0</v>
      </c>
      <c r="AR29" s="79">
        <f t="shared" si="32"/>
        <v>0</v>
      </c>
      <c r="AS29" s="79" t="e">
        <f t="shared" si="16"/>
        <v>#VALUE!</v>
      </c>
      <c r="AT29" s="97" t="e">
        <f t="shared" si="17"/>
        <v>#VALUE!</v>
      </c>
      <c r="AU29" s="96" t="e">
        <f>IF(M29&lt;=servi6,((AU28*K28*($E$12-$M29+1))/$M29),IF(servi6&lt;$M29,((AU28*K28*($E$12-$M29+1))/servi6),0))</f>
        <v>#VALUE!</v>
      </c>
      <c r="AV29" s="79">
        <f>IF($M29&lt;servi6,((K28)^$M29)*(FACT($E$12))/(FACT($M29)*FACT($E$12-$M29)),0)</f>
        <v>0</v>
      </c>
      <c r="AW29" s="79">
        <f t="shared" si="34"/>
        <v>0</v>
      </c>
      <c r="AX29" s="79" t="e">
        <f t="shared" si="19"/>
        <v>#VALUE!</v>
      </c>
      <c r="AY29" s="97" t="e">
        <f t="shared" si="20"/>
        <v>#VALUE!</v>
      </c>
    </row>
    <row r="30" spans="1:51" s="49" customFormat="1" ht="10.5" customHeight="1" x14ac:dyDescent="0.25">
      <c r="A30" s="226" t="s">
        <v>121</v>
      </c>
      <c r="D30" s="82"/>
      <c r="J30" s="50"/>
      <c r="K30" s="51"/>
      <c r="M30" s="75">
        <v>22</v>
      </c>
      <c r="N30" s="78" t="str">
        <f>IF(E12&lt;&gt;"M",Q30,"")</f>
        <v/>
      </c>
      <c r="O30" s="78" t="e">
        <f t="shared" si="35"/>
        <v>#VALUE!</v>
      </c>
      <c r="Q30" s="96" t="e">
        <f>IF(M30&lt;=$E$8,((Q29*K28*($E$12-$M30+1))/$M30),IF($E$8&lt;$M30,((Q29*K28*($E$12-$M30+1))/$E$8),0))</f>
        <v>#VALUE!</v>
      </c>
      <c r="R30" s="79">
        <f>IF($M30&lt;$E$8,((K28)^$M30)*(FACT($E$12))/(FACT($M30)*FACT($E$12-$M30)),0)</f>
        <v>0</v>
      </c>
      <c r="S30" s="79">
        <f t="shared" si="22"/>
        <v>0</v>
      </c>
      <c r="T30" s="79" t="e">
        <f t="shared" si="36"/>
        <v>#VALUE!</v>
      </c>
      <c r="U30" s="97" t="e">
        <f t="shared" si="2"/>
        <v>#VALUE!</v>
      </c>
      <c r="V30" s="96" t="e">
        <f>IF(M30&lt;=servi1,((V29*K28*($E$12-$M30+1))/$M30),IF(servi1&lt;$M30,((V29*K28*($E$12-$M30+1))/servi1),0))</f>
        <v>#VALUE!</v>
      </c>
      <c r="W30" s="79">
        <f>IF($M30&lt;servi1,((K28)^$M30)*(FACT($E$12))/(FACT($M30)*FACT($E$12-$M30)),0)</f>
        <v>0</v>
      </c>
      <c r="X30" s="79">
        <f t="shared" si="24"/>
        <v>0</v>
      </c>
      <c r="Y30" s="79" t="e">
        <f>IF(AND($M30&gt;=servi1,$M30&lt;=$E$12),(((K28^($M30))*FACT($E$12))/((FACT(servi1))*(FACT($E$12-$M30))*(servi1^($M30-servi1)))),0)</f>
        <v>#VALUE!</v>
      </c>
      <c r="Z30" s="97" t="e">
        <f t="shared" si="5"/>
        <v>#VALUE!</v>
      </c>
      <c r="AA30" s="96" t="e">
        <f>IF(M30&lt;=servi2,((AA29*K28*($E$12-$M30+1))/$M30),IF(servi2&lt;$M30,((AA29*K28*($E$12-$M30+1))/servi2),0))</f>
        <v>#VALUE!</v>
      </c>
      <c r="AB30" s="79">
        <f>IF($M30&lt;servi2,((K28)^$M30)*(FACT($E$12))/(FACT($M30)*FACT($E$12-$M30)),0)</f>
        <v>0</v>
      </c>
      <c r="AC30" s="79">
        <f t="shared" si="26"/>
        <v>0</v>
      </c>
      <c r="AD30" s="79" t="e">
        <f>IF(AND($M30&gt;=servi2,$M30&lt;=$E$12),(((K28^($M30))*FACT($E$12))/((FACT(servi2))*(FACT($E$12-$M30))*(servi2^($M30-servi2)))),0)</f>
        <v>#VALUE!</v>
      </c>
      <c r="AE30" s="97" t="e">
        <f t="shared" si="8"/>
        <v>#VALUE!</v>
      </c>
      <c r="AF30" s="96" t="e">
        <f>IF(M30&lt;=servi3,((AF29*K28*($E$12-$M30+1))/$M30),IF(servi3&lt;$M30,((AF29*K28*($E$12-$M30+1))/servi3),0))</f>
        <v>#VALUE!</v>
      </c>
      <c r="AG30" s="79">
        <f>IF($M30&lt;servi3,((K28)^$M30)*(FACT($E$12))/(FACT($M30)*FACT($E$12-$M30)),0)</f>
        <v>0</v>
      </c>
      <c r="AH30" s="79">
        <f t="shared" si="28"/>
        <v>0</v>
      </c>
      <c r="AI30" s="79" t="e">
        <f>IF(AND($M30&gt;=servi3,$M30&lt;=$E$12),(((K28^($M30))*FACT($E$12))/((FACT(servi3))*(FACT($E$12-$M30))*(servi3^($M30-servi3)))),0)</f>
        <v>#VALUE!</v>
      </c>
      <c r="AJ30" s="97" t="e">
        <f t="shared" si="11"/>
        <v>#VALUE!</v>
      </c>
      <c r="AK30" s="96" t="e">
        <f>IF(M30&lt;=servi4,((AK29*K28*($E$12-$M30+1))/$M30),IF(servi4&lt;$M30,((AK29*K28*($E$12-$M30+1))/servi4),0))</f>
        <v>#VALUE!</v>
      </c>
      <c r="AL30" s="79">
        <f>IF($M30&lt;servi4,((K28)^$M30)*(FACT($E$12))/(FACT($M30)*FACT($E$12-$M30)),0)</f>
        <v>0</v>
      </c>
      <c r="AM30" s="79">
        <f t="shared" si="30"/>
        <v>0</v>
      </c>
      <c r="AN30" s="79" t="e">
        <f t="shared" si="13"/>
        <v>#VALUE!</v>
      </c>
      <c r="AO30" s="97" t="e">
        <f t="shared" si="14"/>
        <v>#VALUE!</v>
      </c>
      <c r="AP30" s="96" t="e">
        <f>IF(M30&lt;=servi5,((AP29*K28*($E$12-$M30+1))/$M30),IF(servi5&lt;$M30,((AP29*K28*($E$12-$M30+1))/servi5),0))</f>
        <v>#VALUE!</v>
      </c>
      <c r="AQ30" s="79">
        <f>IF($M30&lt;servi5,((K28)^$M30)*(FACT($E$12))/(FACT($M30)*FACT($E$12-$M30)),0)</f>
        <v>0</v>
      </c>
      <c r="AR30" s="79">
        <f t="shared" si="32"/>
        <v>0</v>
      </c>
      <c r="AS30" s="79" t="e">
        <f t="shared" si="16"/>
        <v>#VALUE!</v>
      </c>
      <c r="AT30" s="97" t="e">
        <f t="shared" si="17"/>
        <v>#VALUE!</v>
      </c>
      <c r="AU30" s="96" t="e">
        <f>IF(M30&lt;=servi6,((AU29*K28*($E$12-$M30+1))/$M30),IF(servi6&lt;$M30,((AU29*K28*($E$12-$M30+1))/servi6),0))</f>
        <v>#VALUE!</v>
      </c>
      <c r="AV30" s="79">
        <f>IF($M30&lt;servi6,((K28)^$M30)*(FACT($E$12))/(FACT($M30)*FACT($E$12-$M30)),0)</f>
        <v>0</v>
      </c>
      <c r="AW30" s="79">
        <f t="shared" si="34"/>
        <v>0</v>
      </c>
      <c r="AX30" s="79" t="e">
        <f t="shared" si="19"/>
        <v>#VALUE!</v>
      </c>
      <c r="AY30" s="97" t="e">
        <f t="shared" si="20"/>
        <v>#VALUE!</v>
      </c>
    </row>
    <row r="31" spans="1:51" s="49" customFormat="1" ht="10.5" customHeight="1" x14ac:dyDescent="0.25">
      <c r="A31" s="226" t="s">
        <v>129</v>
      </c>
      <c r="D31" s="82"/>
      <c r="J31" s="50"/>
      <c r="K31" s="51"/>
      <c r="M31" s="75">
        <v>23</v>
      </c>
      <c r="N31" s="78" t="str">
        <f>IF(E12&lt;&gt;"M",Q31,"")</f>
        <v/>
      </c>
      <c r="O31" s="78" t="e">
        <f t="shared" si="35"/>
        <v>#VALUE!</v>
      </c>
      <c r="Q31" s="96" t="e">
        <f>IF(M31&lt;=$E$8,((Q30*K28*($E$12-$M31+1))/$M31),IF($E$8&lt;$M31,((Q30*K28*($E$12-$M31+1))/$E$8),0))</f>
        <v>#VALUE!</v>
      </c>
      <c r="R31" s="79">
        <f>IF($M31&lt;$E$8,((K28)^$M31)*(FACT($E$12))/(FACT($M31)*FACT($E$12-$M31)),0)</f>
        <v>0</v>
      </c>
      <c r="S31" s="79">
        <f t="shared" si="22"/>
        <v>0</v>
      </c>
      <c r="T31" s="79" t="e">
        <f t="shared" si="36"/>
        <v>#VALUE!</v>
      </c>
      <c r="U31" s="97" t="e">
        <f t="shared" si="2"/>
        <v>#VALUE!</v>
      </c>
      <c r="V31" s="96" t="e">
        <f>IF(M31&lt;=servi1,((V30*K28*($E$12-$M31+1))/$M31),IF(servi1&lt;$M31,((V30*K28*($E$12-$M31+1))/servi1),0))</f>
        <v>#VALUE!</v>
      </c>
      <c r="W31" s="79">
        <f>IF($M31&lt;servi1,((K28)^$M31)*(FACT($E$12))/(FACT($M31)*FACT($E$12-$M31)),0)</f>
        <v>0</v>
      </c>
      <c r="X31" s="79">
        <f t="shared" si="24"/>
        <v>0</v>
      </c>
      <c r="Y31" s="79" t="e">
        <f>IF(AND($M31&gt;=servi1,$M31&lt;=$E$12),(((K28^($M31))*FACT($E$12))/((FACT(servi1))*(FACT($E$12-$M31))*(servi1^($M31-servi1)))),0)</f>
        <v>#VALUE!</v>
      </c>
      <c r="Z31" s="97" t="e">
        <f t="shared" si="5"/>
        <v>#VALUE!</v>
      </c>
      <c r="AA31" s="96" t="e">
        <f>IF(M31&lt;=servi2,((AA30*K28*($E$12-$M31+1))/$M31),IF(servi2&lt;$M31,((AA30*K28*($E$12-$M31+1))/servi2),0))</f>
        <v>#VALUE!</v>
      </c>
      <c r="AB31" s="79">
        <f>IF($M31&lt;servi2,((K28)^$M31)*(FACT($E$12))/(FACT($M31)*FACT($E$12-$M31)),0)</f>
        <v>0</v>
      </c>
      <c r="AC31" s="79">
        <f t="shared" si="26"/>
        <v>0</v>
      </c>
      <c r="AD31" s="79" t="e">
        <f>IF(AND($M31&gt;=servi2,$M31&lt;=$E$12),(((K28^($M31))*FACT($E$12))/((FACT(servi2))*(FACT($E$12-$M31))*(servi2^($M31-servi2)))),0)</f>
        <v>#VALUE!</v>
      </c>
      <c r="AE31" s="97" t="e">
        <f t="shared" si="8"/>
        <v>#VALUE!</v>
      </c>
      <c r="AF31" s="96" t="e">
        <f>IF(M31&lt;=servi3,((AF30*K28*($E$12-$M31+1))/$M31),IF(servi3&lt;$M31,((AF30*K28*($E$12-$M31+1))/servi3),0))</f>
        <v>#VALUE!</v>
      </c>
      <c r="AG31" s="79">
        <f>IF($M31&lt;servi3,((K28)^$M31)*(FACT($E$12))/(FACT($M31)*FACT($E$12-$M31)),0)</f>
        <v>0</v>
      </c>
      <c r="AH31" s="79">
        <f t="shared" si="28"/>
        <v>0</v>
      </c>
      <c r="AI31" s="79" t="e">
        <f>IF(AND($M31&gt;=servi3,$M31&lt;=$E$12),(((K28^($M31))*FACT($E$12))/((FACT(servi3))*(FACT($E$12-$M31))*(servi3^($M31-servi3)))),0)</f>
        <v>#VALUE!</v>
      </c>
      <c r="AJ31" s="97" t="e">
        <f t="shared" si="11"/>
        <v>#VALUE!</v>
      </c>
      <c r="AK31" s="96" t="e">
        <f>IF(M31&lt;=servi4,((AK30*K28*($E$12-$M31+1))/$M31),IF(servi4&lt;$M31,((AK30*K28*($E$12-$M31+1))/servi4),0))</f>
        <v>#VALUE!</v>
      </c>
      <c r="AL31" s="79">
        <f>IF($M31&lt;servi4,((K28)^$M31)*(FACT($E$12))/(FACT($M31)*FACT($E$12-$M31)),0)</f>
        <v>0</v>
      </c>
      <c r="AM31" s="79">
        <f t="shared" si="30"/>
        <v>0</v>
      </c>
      <c r="AN31" s="79" t="e">
        <f t="shared" si="13"/>
        <v>#VALUE!</v>
      </c>
      <c r="AO31" s="97" t="e">
        <f t="shared" si="14"/>
        <v>#VALUE!</v>
      </c>
      <c r="AP31" s="96" t="e">
        <f>IF(M31&lt;=servi5,((AP30*K28*($E$12-$M31+1))/$M31),IF(servi5&lt;$M31,((AP30*K28*($E$12-$M31+1))/servi5),0))</f>
        <v>#VALUE!</v>
      </c>
      <c r="AQ31" s="79">
        <f>IF($M31&lt;servi5,((K28)^$M31)*(FACT($E$12))/(FACT($M31)*FACT($E$12-$M31)),0)</f>
        <v>0</v>
      </c>
      <c r="AR31" s="79">
        <f t="shared" si="32"/>
        <v>0</v>
      </c>
      <c r="AS31" s="79" t="e">
        <f t="shared" si="16"/>
        <v>#VALUE!</v>
      </c>
      <c r="AT31" s="97" t="e">
        <f t="shared" si="17"/>
        <v>#VALUE!</v>
      </c>
      <c r="AU31" s="96" t="e">
        <f>IF(M31&lt;=servi6,((AU30*K28*($E$12-$M31+1))/$M31),IF(servi6&lt;$M31,((AU30*K28*($E$12-$M31+1))/servi6),0))</f>
        <v>#VALUE!</v>
      </c>
      <c r="AV31" s="79">
        <f>IF($M31&lt;servi6,((K28)^$M31)*(FACT($E$12))/(FACT($M31)*FACT($E$12-$M31)),0)</f>
        <v>0</v>
      </c>
      <c r="AW31" s="79">
        <f t="shared" si="34"/>
        <v>0</v>
      </c>
      <c r="AX31" s="79" t="e">
        <f t="shared" si="19"/>
        <v>#VALUE!</v>
      </c>
      <c r="AY31" s="97" t="e">
        <f t="shared" si="20"/>
        <v>#VALUE!</v>
      </c>
    </row>
    <row r="32" spans="1:51" s="49" customFormat="1" ht="10.5" customHeight="1" x14ac:dyDescent="0.2">
      <c r="D32" s="82"/>
      <c r="J32" s="50"/>
      <c r="K32" s="51"/>
      <c r="M32" s="75">
        <v>24</v>
      </c>
      <c r="N32" s="78" t="str">
        <f>IF(E12&lt;&gt;"M",Q32,"")</f>
        <v/>
      </c>
      <c r="O32" s="78" t="e">
        <f t="shared" si="35"/>
        <v>#VALUE!</v>
      </c>
      <c r="Q32" s="96" t="e">
        <f>IF(M32&lt;=$E$8,((Q31*K28*($E$12-$M32+1))/$M32),IF($E$8&lt;$M32,((Q31*K28*($E$12-$M32+1))/$E$8),0))</f>
        <v>#VALUE!</v>
      </c>
      <c r="R32" s="79">
        <f>IF($M32&lt;$E$8,((K28)^$M32)*(FACT($E$12))/(FACT($M32)*FACT($E$12-$M32)),0)</f>
        <v>0</v>
      </c>
      <c r="S32" s="79">
        <f t="shared" si="22"/>
        <v>0</v>
      </c>
      <c r="T32" s="79" t="e">
        <f t="shared" si="36"/>
        <v>#VALUE!</v>
      </c>
      <c r="U32" s="97" t="e">
        <f t="shared" si="2"/>
        <v>#VALUE!</v>
      </c>
      <c r="V32" s="96" t="e">
        <f>IF(M32&lt;=servi1,((V31*K28*($E$12-$M32+1))/$M32),IF(servi1&lt;$M32,((V31*K28*($E$12-$M32+1))/servi1),0))</f>
        <v>#VALUE!</v>
      </c>
      <c r="W32" s="79">
        <f>IF($M32&lt;servi1,((K28)^$M32)*(FACT($E$12))/(FACT($M32)*FACT($E$12-$M32)),0)</f>
        <v>0</v>
      </c>
      <c r="X32" s="79">
        <f t="shared" si="24"/>
        <v>0</v>
      </c>
      <c r="Y32" s="79" t="e">
        <f>IF(AND($M32&gt;=servi1,$M32&lt;=$E$12),(((K28^($M32))*FACT($E$12))/((FACT(servi1))*(FACT($E$12-$M32))*(servi1^($M32-servi1)))),0)</f>
        <v>#VALUE!</v>
      </c>
      <c r="Z32" s="97" t="e">
        <f t="shared" si="5"/>
        <v>#VALUE!</v>
      </c>
      <c r="AA32" s="96" t="e">
        <f>IF(M32&lt;=servi2,((AA31*K28*($E$12-$M32+1))/$M32),IF(servi2&lt;$M32,((AA31*K28*($E$12-$M32+1))/servi2),0))</f>
        <v>#VALUE!</v>
      </c>
      <c r="AB32" s="79">
        <f>IF($M32&lt;servi2,((K28)^$M32)*(FACT($E$12))/(FACT($M32)*FACT($E$12-$M32)),0)</f>
        <v>0</v>
      </c>
      <c r="AC32" s="79">
        <f t="shared" si="26"/>
        <v>0</v>
      </c>
      <c r="AD32" s="79" t="e">
        <f>IF(AND($M32&gt;=servi2,$M32&lt;=$E$12),(((K28^($M32))*FACT($E$12))/((FACT(servi2))*(FACT($E$12-$M32))*(servi2^($M32-servi2)))),0)</f>
        <v>#VALUE!</v>
      </c>
      <c r="AE32" s="97" t="e">
        <f t="shared" si="8"/>
        <v>#VALUE!</v>
      </c>
      <c r="AF32" s="96" t="e">
        <f>IF(M32&lt;=servi3,((AF31*K28*($E$12-$M32+1))/$M32),IF(servi3&lt;$M32,((AF31*K28*($E$12-$M32+1))/servi3),0))</f>
        <v>#VALUE!</v>
      </c>
      <c r="AG32" s="79">
        <f>IF($M32&lt;servi3,((K28)^$M32)*(FACT($E$12))/(FACT($M32)*FACT($E$12-$M32)),0)</f>
        <v>0</v>
      </c>
      <c r="AH32" s="79">
        <f t="shared" si="28"/>
        <v>0</v>
      </c>
      <c r="AI32" s="79" t="e">
        <f>IF(AND($M32&gt;=servi3,$M32&lt;=$E$12),(((K28^($M32))*FACT($E$12))/((FACT(servi3))*(FACT($E$12-$M32))*(servi3^($M32-servi3)))),0)</f>
        <v>#VALUE!</v>
      </c>
      <c r="AJ32" s="97" t="e">
        <f t="shared" si="11"/>
        <v>#VALUE!</v>
      </c>
      <c r="AK32" s="96" t="e">
        <f>IF(M32&lt;=servi4,((AK31*K28*($E$12-$M32+1))/$M32),IF(servi4&lt;$M32,((AK31*K28*($E$12-$M32+1))/servi4),0))</f>
        <v>#VALUE!</v>
      </c>
      <c r="AL32" s="79">
        <f>IF($M32&lt;servi4,((K28)^$M32)*(FACT($E$12))/(FACT($M32)*FACT($E$12-$M32)),0)</f>
        <v>0</v>
      </c>
      <c r="AM32" s="79">
        <f t="shared" si="30"/>
        <v>0</v>
      </c>
      <c r="AN32" s="79" t="e">
        <f t="shared" si="13"/>
        <v>#VALUE!</v>
      </c>
      <c r="AO32" s="97" t="e">
        <f t="shared" si="14"/>
        <v>#VALUE!</v>
      </c>
      <c r="AP32" s="96" t="e">
        <f>IF(M32&lt;=servi5,((AP31*K28*($E$12-$M32+1))/$M32),IF(servi5&lt;$M32,((AP31*K28*($E$12-$M32+1))/servi5),0))</f>
        <v>#VALUE!</v>
      </c>
      <c r="AQ32" s="79">
        <f>IF($M32&lt;servi5,((K28)^$M32)*(FACT($E$12))/(FACT($M32)*FACT($E$12-$M32)),0)</f>
        <v>0</v>
      </c>
      <c r="AR32" s="79">
        <f t="shared" si="32"/>
        <v>0</v>
      </c>
      <c r="AS32" s="79" t="e">
        <f t="shared" si="16"/>
        <v>#VALUE!</v>
      </c>
      <c r="AT32" s="97" t="e">
        <f t="shared" si="17"/>
        <v>#VALUE!</v>
      </c>
      <c r="AU32" s="96" t="e">
        <f>IF(M32&lt;=servi6,((AU31*K28*($E$12-$M32+1))/$M32),IF(servi6&lt;$M32,((AU31*K28*($E$12-$M32+1))/servi6),0))</f>
        <v>#VALUE!</v>
      </c>
      <c r="AV32" s="79">
        <f>IF($M32&lt;servi6,((K28)^$M32)*(FACT($E$12))/(FACT($M32)*FACT($E$12-$M32)),0)</f>
        <v>0</v>
      </c>
      <c r="AW32" s="79">
        <f t="shared" si="34"/>
        <v>0</v>
      </c>
      <c r="AX32" s="79" t="e">
        <f t="shared" si="19"/>
        <v>#VALUE!</v>
      </c>
      <c r="AY32" s="97" t="e">
        <f t="shared" si="20"/>
        <v>#VALUE!</v>
      </c>
    </row>
    <row r="33" spans="1:51" s="49" customFormat="1" ht="10.5" customHeight="1" x14ac:dyDescent="0.2">
      <c r="A33" s="379" t="s">
        <v>128</v>
      </c>
      <c r="B33" s="379"/>
      <c r="C33" s="379"/>
      <c r="D33" s="379"/>
      <c r="E33" s="379"/>
      <c r="F33" s="380"/>
      <c r="G33" s="379"/>
      <c r="H33" s="379"/>
      <c r="I33" s="379"/>
      <c r="J33" s="379"/>
      <c r="K33" s="379"/>
      <c r="M33" s="75">
        <v>25</v>
      </c>
      <c r="N33" s="78" t="str">
        <f>IF(E12&lt;&gt;"M",Q33,"")</f>
        <v/>
      </c>
      <c r="O33" s="78" t="e">
        <f t="shared" si="35"/>
        <v>#VALUE!</v>
      </c>
      <c r="Q33" s="96" t="e">
        <f>IF(M33&lt;=$E$8,((Q32*K28*($E$12-$M33+1))/$M33),IF($E$8&lt;$M33,((Q32*K28*($E$12-$M33+1))/$E$8),0))</f>
        <v>#VALUE!</v>
      </c>
      <c r="R33" s="79">
        <f>IF($M33&lt;$E$8,((K28)^$M33)*(FACT($E$12))/(FACT($M33)*FACT($E$12-$M33)),0)</f>
        <v>0</v>
      </c>
      <c r="S33" s="79">
        <f t="shared" si="22"/>
        <v>0</v>
      </c>
      <c r="T33" s="79" t="e">
        <f t="shared" si="36"/>
        <v>#VALUE!</v>
      </c>
      <c r="U33" s="97" t="e">
        <f t="shared" si="2"/>
        <v>#VALUE!</v>
      </c>
      <c r="V33" s="96" t="e">
        <f>IF(M33&lt;=servi1,((V32*K28*($E$12-$M33+1))/$M33),IF(servi1&lt;$M33,((V32*K28*($E$12-$M33+1))/servi1),0))</f>
        <v>#VALUE!</v>
      </c>
      <c r="W33" s="79">
        <f>IF($M33&lt;servi1,((K28)^$M33)*(FACT($E$12))/(FACT($M33)*FACT($E$12-$M33)),0)</f>
        <v>0</v>
      </c>
      <c r="X33" s="79">
        <f t="shared" si="24"/>
        <v>0</v>
      </c>
      <c r="Y33" s="79" t="e">
        <f>IF(AND($M33&gt;=servi1,$M33&lt;=$E$12),(((K28^($M33))*FACT($E$12))/((FACT(servi1))*(FACT($E$12-$M33))*(servi1^($M33-servi1)))),0)</f>
        <v>#VALUE!</v>
      </c>
      <c r="Z33" s="97" t="e">
        <f t="shared" si="5"/>
        <v>#VALUE!</v>
      </c>
      <c r="AA33" s="96" t="e">
        <f>IF(M33&lt;=servi2,((AA32*K28*($E$12-$M33+1))/$M33),IF(servi2&lt;$M33,((AA32*K28*($E$12-$M33+1))/servi2),0))</f>
        <v>#VALUE!</v>
      </c>
      <c r="AB33" s="79">
        <f>IF($M33&lt;servi2,((K28)^$M33)*(FACT($E$12))/(FACT($M33)*FACT($E$12-$M33)),0)</f>
        <v>0</v>
      </c>
      <c r="AC33" s="79">
        <f t="shared" si="26"/>
        <v>0</v>
      </c>
      <c r="AD33" s="79" t="e">
        <f>IF(AND($M33&gt;=servi2,$M33&lt;=$E$12),(((K28^($M33))*FACT($E$12))/((FACT(servi2))*(FACT($E$12-$M33))*(servi2^($M33-servi2)))),0)</f>
        <v>#VALUE!</v>
      </c>
      <c r="AE33" s="97" t="e">
        <f t="shared" si="8"/>
        <v>#VALUE!</v>
      </c>
      <c r="AF33" s="96" t="e">
        <f>IF(M33&lt;=servi3,((AF32*K28*($E$12-$M33+1))/$M33),IF(servi3&lt;$M33,((AF32*K28*($E$12-$M33+1))/servi3),0))</f>
        <v>#VALUE!</v>
      </c>
      <c r="AG33" s="79">
        <f>IF($M33&lt;servi3,((K28)^$M33)*(FACT($E$12))/(FACT($M33)*FACT($E$12-$M33)),0)</f>
        <v>0</v>
      </c>
      <c r="AH33" s="79">
        <f t="shared" si="28"/>
        <v>0</v>
      </c>
      <c r="AI33" s="79" t="e">
        <f>IF(AND($M33&gt;=servi3,$M33&lt;=$E$12),(((K28^($M33))*FACT($E$12))/((FACT(servi3))*(FACT($E$12-$M33))*(servi3^($M33-servi3)))),0)</f>
        <v>#VALUE!</v>
      </c>
      <c r="AJ33" s="97" t="e">
        <f t="shared" si="11"/>
        <v>#VALUE!</v>
      </c>
      <c r="AK33" s="96" t="e">
        <f>IF(M33&lt;=servi4,((AK32*K28*($E$12-$M33+1))/$M33),IF(servi4&lt;$M33,((AK32*K28*($E$12-$M33+1))/servi4),0))</f>
        <v>#VALUE!</v>
      </c>
      <c r="AL33" s="79">
        <f>IF($M33&lt;servi4,((K28)^$M33)*(FACT($E$12))/(FACT($M33)*FACT($E$12-$M33)),0)</f>
        <v>0</v>
      </c>
      <c r="AM33" s="79">
        <f t="shared" si="30"/>
        <v>0</v>
      </c>
      <c r="AN33" s="79" t="e">
        <f t="shared" si="13"/>
        <v>#VALUE!</v>
      </c>
      <c r="AO33" s="97" t="e">
        <f t="shared" si="14"/>
        <v>#VALUE!</v>
      </c>
      <c r="AP33" s="96" t="e">
        <f>IF(M33&lt;=servi5,((AP32*K28*($E$12-$M33+1))/$M33),IF(servi5&lt;$M33,((AP32*K28*($E$12-$M33+1))/servi5),0))</f>
        <v>#VALUE!</v>
      </c>
      <c r="AQ33" s="79">
        <f>IF($M33&lt;servi5,((K28)^$M33)*(FACT($E$12))/(FACT($M33)*FACT($E$12-$M33)),0)</f>
        <v>0</v>
      </c>
      <c r="AR33" s="79">
        <f t="shared" si="32"/>
        <v>0</v>
      </c>
      <c r="AS33" s="79" t="e">
        <f t="shared" si="16"/>
        <v>#VALUE!</v>
      </c>
      <c r="AT33" s="97" t="e">
        <f t="shared" si="17"/>
        <v>#VALUE!</v>
      </c>
      <c r="AU33" s="96" t="e">
        <f>IF(M33&lt;=servi6,((AU32*K28*($E$12-$M33+1))/$M33),IF(servi6&lt;$M33,((AU32*K28*($E$12-$M33+1))/servi6),0))</f>
        <v>#VALUE!</v>
      </c>
      <c r="AV33" s="79">
        <f>IF($M33&lt;servi6,((K28)^$M33)*(FACT($E$12))/(FACT($M33)*FACT($E$12-$M33)),0)</f>
        <v>0</v>
      </c>
      <c r="AW33" s="79">
        <f t="shared" si="34"/>
        <v>0</v>
      </c>
      <c r="AX33" s="79" t="e">
        <f t="shared" si="19"/>
        <v>#VALUE!</v>
      </c>
      <c r="AY33" s="97" t="e">
        <f t="shared" si="20"/>
        <v>#VALUE!</v>
      </c>
    </row>
    <row r="34" spans="1:51" s="49" customFormat="1" ht="10.5" customHeight="1" x14ac:dyDescent="0.2">
      <c r="A34" s="105" t="s">
        <v>120</v>
      </c>
      <c r="B34" s="106" t="s">
        <v>53</v>
      </c>
      <c r="C34" s="196" t="s">
        <v>122</v>
      </c>
      <c r="D34" s="196" t="s">
        <v>54</v>
      </c>
      <c r="E34" s="197" t="s">
        <v>55</v>
      </c>
      <c r="F34" s="197"/>
      <c r="G34" s="198" t="s">
        <v>25</v>
      </c>
      <c r="H34" s="196" t="s">
        <v>27</v>
      </c>
      <c r="I34" s="196" t="s">
        <v>23</v>
      </c>
      <c r="J34" s="196" t="s">
        <v>21</v>
      </c>
      <c r="K34" s="196" t="s">
        <v>36</v>
      </c>
      <c r="M34" s="75">
        <v>26</v>
      </c>
      <c r="N34" s="78" t="str">
        <f>IF(E12&lt;&gt;"M",Q34,"")</f>
        <v/>
      </c>
      <c r="O34" s="78" t="e">
        <f t="shared" si="35"/>
        <v>#VALUE!</v>
      </c>
      <c r="Q34" s="96" t="e">
        <f>IF(M34&lt;=$E$8,((Q33*K28*($E$12-$M34+1))/$M34),IF($E$8&lt;$M34,((Q33*K28*($E$12-$M34+1))/$E$8),0))</f>
        <v>#VALUE!</v>
      </c>
      <c r="R34" s="79">
        <f>IF($M34&lt;$E$8,((K28)^$M34)*(FACT($E$12))/(FACT($M34)*FACT($E$12-$M34)),0)</f>
        <v>0</v>
      </c>
      <c r="S34" s="79">
        <f t="shared" si="22"/>
        <v>0</v>
      </c>
      <c r="T34" s="79" t="e">
        <f t="shared" si="36"/>
        <v>#VALUE!</v>
      </c>
      <c r="U34" s="97" t="e">
        <f t="shared" si="2"/>
        <v>#VALUE!</v>
      </c>
      <c r="V34" s="96" t="e">
        <f>IF(M34&lt;=servi1,((V33*K28*($E$12-$M34+1))/$M34),IF(servi1&lt;$M34,((V33*K28*($E$12-$M34+1))/servi1),0))</f>
        <v>#VALUE!</v>
      </c>
      <c r="W34" s="79">
        <f>IF($M34&lt;servi1,((K28)^$M34)*(FACT($E$12))/(FACT($M34)*FACT($E$12-$M34)),0)</f>
        <v>0</v>
      </c>
      <c r="X34" s="79">
        <f t="shared" si="24"/>
        <v>0</v>
      </c>
      <c r="Y34" s="79" t="e">
        <f>IF(AND($M34&gt;=servi1,$M34&lt;=$E$12),(((K28^($M34))*FACT($E$12))/((FACT(servi1))*(FACT($E$12-$M34))*(servi1^($M34-servi1)))),0)</f>
        <v>#VALUE!</v>
      </c>
      <c r="Z34" s="97" t="e">
        <f t="shared" si="5"/>
        <v>#VALUE!</v>
      </c>
      <c r="AA34" s="96" t="e">
        <f>IF(M34&lt;=servi2,((AA33*K28*($E$12-$M34+1))/$M34),IF(servi2&lt;$M34,((AA33*K28*($E$12-$M34+1))/servi2),0))</f>
        <v>#VALUE!</v>
      </c>
      <c r="AB34" s="79">
        <f>IF($M34&lt;servi2,((K28)^$M34)*(FACT($E$12))/(FACT($M34)*FACT($E$12-$M34)),0)</f>
        <v>0</v>
      </c>
      <c r="AC34" s="79">
        <f t="shared" si="26"/>
        <v>0</v>
      </c>
      <c r="AD34" s="79" t="e">
        <f>IF(AND($M34&gt;=servi2,$M34&lt;=$E$12),(((K28^($M34))*FACT($E$12))/((FACT(servi2))*(FACT($E$12-$M34))*(servi2^($M34-servi2)))),0)</f>
        <v>#VALUE!</v>
      </c>
      <c r="AE34" s="97" t="e">
        <f t="shared" si="8"/>
        <v>#VALUE!</v>
      </c>
      <c r="AF34" s="96" t="e">
        <f>IF(M34&lt;=servi3,((AF33*K28*($E$12-$M34+1))/$M34),IF(servi3&lt;$M34,((AF33*K28*($E$12-$M34+1))/servi3),0))</f>
        <v>#VALUE!</v>
      </c>
      <c r="AG34" s="79">
        <f>IF($M34&lt;servi3,((K28)^$M34)*(FACT($E$12))/(FACT($M34)*FACT($E$12-$M34)),0)</f>
        <v>0</v>
      </c>
      <c r="AH34" s="79">
        <f t="shared" si="28"/>
        <v>0</v>
      </c>
      <c r="AI34" s="79" t="e">
        <f>IF(AND($M34&gt;=servi3,$M34&lt;=$E$12),(((K28^($M34))*FACT($E$12))/((FACT(servi3))*(FACT($E$12-$M34))*(servi3^($M34-servi3)))),0)</f>
        <v>#VALUE!</v>
      </c>
      <c r="AJ34" s="97" t="e">
        <f t="shared" si="11"/>
        <v>#VALUE!</v>
      </c>
      <c r="AK34" s="96" t="e">
        <f>IF(M34&lt;=servi4,((AK33*K28*($E$12-$M34+1))/$M34),IF(servi4&lt;$M34,((AK33*K28*($E$12-$M34+1))/servi4),0))</f>
        <v>#VALUE!</v>
      </c>
      <c r="AL34" s="79">
        <f>IF($M34&lt;servi4,((K28)^$M34)*(FACT($E$12))/(FACT($M34)*FACT($E$12-$M34)),0)</f>
        <v>0</v>
      </c>
      <c r="AM34" s="79">
        <f t="shared" si="30"/>
        <v>0</v>
      </c>
      <c r="AN34" s="79" t="e">
        <f t="shared" si="13"/>
        <v>#VALUE!</v>
      </c>
      <c r="AO34" s="97" t="e">
        <f t="shared" si="14"/>
        <v>#VALUE!</v>
      </c>
      <c r="AP34" s="96" t="e">
        <f>IF(M34&lt;=servi5,((AP33*K28*($E$12-$M34+1))/$M34),IF(servi5&lt;$M34,((AP33*K28*($E$12-$M34+1))/servi5),0))</f>
        <v>#VALUE!</v>
      </c>
      <c r="AQ34" s="79">
        <f>IF($M34&lt;servi5,((K28)^$M34)*(FACT($E$12))/(FACT($M34)*FACT($E$12-$M34)),0)</f>
        <v>0</v>
      </c>
      <c r="AR34" s="79">
        <f t="shared" si="32"/>
        <v>0</v>
      </c>
      <c r="AS34" s="79" t="e">
        <f t="shared" si="16"/>
        <v>#VALUE!</v>
      </c>
      <c r="AT34" s="97" t="e">
        <f t="shared" si="17"/>
        <v>#VALUE!</v>
      </c>
      <c r="AU34" s="96" t="e">
        <f>IF(M34&lt;=servi6,((AU33*K28*($E$12-$M34+1))/$M34),IF(servi6&lt;$M34,((AU33*K28*($E$12-$M34+1))/servi6),0))</f>
        <v>#VALUE!</v>
      </c>
      <c r="AV34" s="79">
        <f>IF($M34&lt;servi6,((K28)^$M34)*(FACT($E$12))/(FACT($M34)*FACT($E$12-$M34)),0)</f>
        <v>0</v>
      </c>
      <c r="AW34" s="79">
        <f t="shared" si="34"/>
        <v>0</v>
      </c>
      <c r="AX34" s="79" t="e">
        <f t="shared" si="19"/>
        <v>#VALUE!</v>
      </c>
      <c r="AY34" s="97" t="e">
        <f t="shared" si="20"/>
        <v>#VALUE!</v>
      </c>
    </row>
    <row r="35" spans="1:51" s="49" customFormat="1" ht="10.5" customHeight="1" x14ac:dyDescent="0.2">
      <c r="A35" s="169" t="e">
        <f>($Q$8*tau*(gamma^cl))/(FACT(cl)*(1-tau)^2)</f>
        <v>#VALUE!</v>
      </c>
      <c r="B35" s="179">
        <f>cl</f>
        <v>2</v>
      </c>
      <c r="C35" s="9" t="e">
        <f t="shared" ref="C35:C40" si="38">D35+E35</f>
        <v>#VALUE!</v>
      </c>
      <c r="D35" s="180" t="e">
        <f>csoc*cl*K35+csli*cl*(1-K35)</f>
        <v>#VALUE!</v>
      </c>
      <c r="E35" s="181" t="e">
        <f t="shared" ref="E35:E41" si="39">cclate*(J35-I35)+cclesp*I35</f>
        <v>#VALUE!</v>
      </c>
      <c r="F35" s="182"/>
      <c r="G35" s="183" t="e">
        <f t="shared" ref="G35:G41" si="40">H35+(1/micro)</f>
        <v>#VALUE!</v>
      </c>
      <c r="H35" s="184" t="e">
        <f t="shared" ref="H35:H41" si="41">I35/lmbd</f>
        <v>#VALUE!</v>
      </c>
      <c r="I35" s="184" t="str">
        <f>K12</f>
        <v>Otro modelo</v>
      </c>
      <c r="J35" s="184">
        <f>K11</f>
        <v>0</v>
      </c>
      <c r="K35" s="184" t="str">
        <f>K10</f>
        <v>Otro Modelo</v>
      </c>
      <c r="M35" s="75">
        <v>27</v>
      </c>
      <c r="N35" s="78" t="str">
        <f>IF(E12&lt;&gt;"M",Q35,"")</f>
        <v/>
      </c>
      <c r="O35" s="78" t="e">
        <f t="shared" si="35"/>
        <v>#VALUE!</v>
      </c>
      <c r="Q35" s="96" t="e">
        <f>IF(M35&lt;=$E$8,((Q34*K28*($E$12-$M35+1))/$M35),IF($E$8&lt;$M35,((Q34*K28*($E$12-$M35+1))/$E$8),0))</f>
        <v>#VALUE!</v>
      </c>
      <c r="R35" s="79">
        <f>IF($M35&lt;$E$8,((K28)^$M35)*(FACT($E$12))/(FACT($M35)*FACT($E$12-$M35)),0)</f>
        <v>0</v>
      </c>
      <c r="S35" s="79">
        <f t="shared" si="22"/>
        <v>0</v>
      </c>
      <c r="T35" s="79" t="e">
        <f t="shared" si="36"/>
        <v>#VALUE!</v>
      </c>
      <c r="U35" s="97" t="e">
        <f t="shared" si="2"/>
        <v>#VALUE!</v>
      </c>
      <c r="V35" s="96" t="e">
        <f>IF(M35&lt;=servi1,((V34*K28*($E$12-$M35+1))/$M35),IF(servi1&lt;$M35,((V34*K28*($E$12-$M35+1))/servi1),0))</f>
        <v>#VALUE!</v>
      </c>
      <c r="W35" s="79">
        <f>IF($M35&lt;servi1,((K28)^$M35)*(FACT($E$12))/(FACT($M35)*FACT($E$12-$M35)),0)</f>
        <v>0</v>
      </c>
      <c r="X35" s="79">
        <f t="shared" si="24"/>
        <v>0</v>
      </c>
      <c r="Y35" s="79" t="e">
        <f>IF(AND($M35&gt;=servi1,$M35&lt;=$E$12),(((K28^($M35))*FACT($E$12))/((FACT(servi1))*(FACT($E$12-$M35))*(servi1^($M35-servi1)))),0)</f>
        <v>#VALUE!</v>
      </c>
      <c r="Z35" s="97" t="e">
        <f t="shared" si="5"/>
        <v>#VALUE!</v>
      </c>
      <c r="AA35" s="96" t="e">
        <f>IF(M35&lt;=servi2,((AA34*K28*($E$12-$M35+1))/$M35),IF(servi2&lt;$M35,((AA34*K28*($E$12-$M35+1))/servi2),0))</f>
        <v>#VALUE!</v>
      </c>
      <c r="AB35" s="79">
        <f>IF($M35&lt;servi2,((K28)^$M35)*(FACT($E$12))/(FACT($M35)*FACT($E$12-$M35)),0)</f>
        <v>0</v>
      </c>
      <c r="AC35" s="79">
        <f t="shared" si="26"/>
        <v>0</v>
      </c>
      <c r="AD35" s="79" t="e">
        <f>IF(AND($M35&gt;=servi2,$M35&lt;=$E$12),(((K28^($M35))*FACT($E$12))/((FACT(servi2))*(FACT($E$12-$M35))*(servi2^($M35-servi2)))),0)</f>
        <v>#VALUE!</v>
      </c>
      <c r="AE35" s="97" t="e">
        <f t="shared" si="8"/>
        <v>#VALUE!</v>
      </c>
      <c r="AF35" s="96" t="e">
        <f>IF(M35&lt;=servi3,((AF34*K28*($E$12-$M35+1))/$M35),IF(servi3&lt;$M35,((AF34*K28*($E$12-$M35+1))/servi3),0))</f>
        <v>#VALUE!</v>
      </c>
      <c r="AG35" s="79">
        <f>IF($M35&lt;servi3,((K28)^$M35)*(FACT($E$12))/(FACT($M35)*FACT($E$12-$M35)),0)</f>
        <v>0</v>
      </c>
      <c r="AH35" s="79">
        <f t="shared" si="28"/>
        <v>0</v>
      </c>
      <c r="AI35" s="79" t="e">
        <f>IF(AND($M35&gt;=servi3,$M35&lt;=$E$12),(((K28^($M35))*FACT($E$12))/((FACT(servi3))*(FACT($E$12-$M35))*(servi3^($M35-servi3)))),0)</f>
        <v>#VALUE!</v>
      </c>
      <c r="AJ35" s="97" t="e">
        <f t="shared" si="11"/>
        <v>#VALUE!</v>
      </c>
      <c r="AK35" s="96" t="e">
        <f>IF(M35&lt;=servi4,((AK34*K28*($E$12-$M35+1))/$M35),IF(servi4&lt;$M35,((AK34*K28*($E$12-$M35+1))/servi4),0))</f>
        <v>#VALUE!</v>
      </c>
      <c r="AL35" s="79">
        <f>IF($M35&lt;servi4,((K28)^$M35)*(FACT($E$12))/(FACT($M35)*FACT($E$12-$M35)),0)</f>
        <v>0</v>
      </c>
      <c r="AM35" s="79">
        <f t="shared" si="30"/>
        <v>0</v>
      </c>
      <c r="AN35" s="79" t="e">
        <f t="shared" si="13"/>
        <v>#VALUE!</v>
      </c>
      <c r="AO35" s="97" t="e">
        <f t="shared" si="14"/>
        <v>#VALUE!</v>
      </c>
      <c r="AP35" s="96" t="e">
        <f>IF(M35&lt;=servi5,((AP34*K28*($E$12-$M35+1))/$M35),IF(servi5&lt;$M35,((AP34*K28*($E$12-$M35+1))/servi5),0))</f>
        <v>#VALUE!</v>
      </c>
      <c r="AQ35" s="79">
        <f>IF($M35&lt;servi5,((K28)^$M35)*(FACT($E$12))/(FACT($M35)*FACT($E$12-$M35)),0)</f>
        <v>0</v>
      </c>
      <c r="AR35" s="79">
        <f t="shared" si="32"/>
        <v>0</v>
      </c>
      <c r="AS35" s="79" t="e">
        <f t="shared" si="16"/>
        <v>#VALUE!</v>
      </c>
      <c r="AT35" s="97" t="e">
        <f t="shared" si="17"/>
        <v>#VALUE!</v>
      </c>
      <c r="AU35" s="96" t="e">
        <f>IF(M35&lt;=servi6,((AU34*K28*($E$12-$M35+1))/$M35),IF(servi6&lt;$M35,((AU34*K28*($E$12-$M35+1))/servi6),0))</f>
        <v>#VALUE!</v>
      </c>
      <c r="AV35" s="79">
        <f>IF($M35&lt;servi6,((K28)^$M35)*(FACT($E$12))/(FACT($M35)*FACT($E$12-$M35)),0)</f>
        <v>0</v>
      </c>
      <c r="AW35" s="79">
        <f t="shared" si="34"/>
        <v>0</v>
      </c>
      <c r="AX35" s="79" t="e">
        <f t="shared" si="19"/>
        <v>#VALUE!</v>
      </c>
      <c r="AY35" s="97" t="e">
        <f t="shared" si="20"/>
        <v>#VALUE!</v>
      </c>
    </row>
    <row r="36" spans="1:51" s="49" customFormat="1" ht="10.5" customHeight="1" x14ac:dyDescent="0.2">
      <c r="A36" s="169" t="e">
        <f>(V8*($K$8/(servi1*$K$9))*(gamma^clplus1))/(FACT(B36)*(1-($K$8/(servi1*$K$9)))^2)</f>
        <v>#VALUE!</v>
      </c>
      <c r="B36" s="179">
        <f>clplus1</f>
        <v>3</v>
      </c>
      <c r="C36" s="9" t="e">
        <f t="shared" si="38"/>
        <v>#VALUE!</v>
      </c>
      <c r="D36" s="180" t="e">
        <f>csoc*clplus1*K36+csli*clplus1*(1-K36)</f>
        <v>#VALUE!</v>
      </c>
      <c r="E36" s="181" t="e">
        <f t="shared" si="39"/>
        <v>#VALUE!</v>
      </c>
      <c r="F36" s="182"/>
      <c r="G36" s="183" t="e">
        <f t="shared" si="40"/>
        <v>#VALUE!</v>
      </c>
      <c r="H36" s="184" t="e">
        <f t="shared" si="41"/>
        <v>#VALUE!</v>
      </c>
      <c r="I36" s="184" t="e">
        <f>SUM(Z:Z)</f>
        <v>#VALUE!</v>
      </c>
      <c r="J36" s="184" t="e">
        <f>SUMPRODUCT($M$8:$M$108,$V$8:$V108)</f>
        <v>#VALUE!</v>
      </c>
      <c r="K36" s="184" t="e">
        <f>1-SUM(X:X)</f>
        <v>#VALUE!</v>
      </c>
      <c r="M36" s="75">
        <v>28</v>
      </c>
      <c r="N36" s="78" t="str">
        <f>IF(E12&lt;&gt;"M",Q36,"")</f>
        <v/>
      </c>
      <c r="O36" s="78" t="e">
        <f t="shared" si="35"/>
        <v>#VALUE!</v>
      </c>
      <c r="Q36" s="96" t="e">
        <f>IF(M36&lt;=$E$8,((Q35*K28*($E$12-$M36+1))/$M36),IF($E$8&lt;$M36,((Q35*K28*($E$12-$M36+1))/$E$8),0))</f>
        <v>#VALUE!</v>
      </c>
      <c r="R36" s="79">
        <f>IF($M36&lt;$E$8,((K28)^$M36)*(FACT($E$12))/(FACT($M36)*FACT($E$12-$M36)),0)</f>
        <v>0</v>
      </c>
      <c r="S36" s="79">
        <f t="shared" si="22"/>
        <v>0</v>
      </c>
      <c r="T36" s="79" t="e">
        <f t="shared" si="36"/>
        <v>#VALUE!</v>
      </c>
      <c r="U36" s="97" t="e">
        <f t="shared" si="2"/>
        <v>#VALUE!</v>
      </c>
      <c r="V36" s="96" t="e">
        <f>IF(M36&lt;=servi1,((V35*K28*($E$12-$M36+1))/$M36),IF(servi1&lt;$M36,((V35*K28*($E$12-$M36+1))/servi1),0))</f>
        <v>#VALUE!</v>
      </c>
      <c r="W36" s="79">
        <f>IF($M36&lt;servi1,((K28)^$M36)*(FACT($E$12))/(FACT($M36)*FACT($E$12-$M36)),0)</f>
        <v>0</v>
      </c>
      <c r="X36" s="79">
        <f t="shared" si="24"/>
        <v>0</v>
      </c>
      <c r="Y36" s="79" t="e">
        <f>IF(AND($M36&gt;=servi1,$M36&lt;=$E$12),(((K28^($M36))*FACT($E$12))/((FACT(servi1))*(FACT($E$12-$M36))*(servi1^($M36-servi1)))),0)</f>
        <v>#VALUE!</v>
      </c>
      <c r="Z36" s="97" t="e">
        <f t="shared" si="5"/>
        <v>#VALUE!</v>
      </c>
      <c r="AA36" s="96" t="e">
        <f>IF(M36&lt;=servi2,((AA35*K28*($E$12-$M36+1))/$M36),IF(servi2&lt;$M36,((AA35*K28*($E$12-$M36+1))/servi2),0))</f>
        <v>#VALUE!</v>
      </c>
      <c r="AB36" s="79">
        <f>IF($M36&lt;servi2,((K28)^$M36)*(FACT($E$12))/(FACT($M36)*FACT($E$12-$M36)),0)</f>
        <v>0</v>
      </c>
      <c r="AC36" s="79">
        <f t="shared" si="26"/>
        <v>0</v>
      </c>
      <c r="AD36" s="79" t="e">
        <f>IF(AND($M36&gt;=servi2,$M36&lt;=$E$12),(((K28^($M36))*FACT($E$12))/((FACT(servi2))*(FACT($E$12-$M36))*(servi2^($M36-servi2)))),0)</f>
        <v>#VALUE!</v>
      </c>
      <c r="AE36" s="97" t="e">
        <f t="shared" si="8"/>
        <v>#VALUE!</v>
      </c>
      <c r="AF36" s="96" t="e">
        <f>IF(M36&lt;=servi3,((AF35*K28*($E$12-$M36+1))/$M36),IF(servi3&lt;$M36,((AF35*K28*($E$12-$M36+1))/servi3),0))</f>
        <v>#VALUE!</v>
      </c>
      <c r="AG36" s="79">
        <f>IF($M36&lt;servi3,((K28)^$M36)*(FACT($E$12))/(FACT($M36)*FACT($E$12-$M36)),0)</f>
        <v>0</v>
      </c>
      <c r="AH36" s="79">
        <f t="shared" si="28"/>
        <v>0</v>
      </c>
      <c r="AI36" s="79" t="e">
        <f>IF(AND($M36&gt;=servi3,$M36&lt;=$E$12),(((K28^($M36))*FACT($E$12))/((FACT(servi3))*(FACT($E$12-$M36))*(servi3^($M36-servi3)))),0)</f>
        <v>#VALUE!</v>
      </c>
      <c r="AJ36" s="97" t="e">
        <f t="shared" si="11"/>
        <v>#VALUE!</v>
      </c>
      <c r="AK36" s="96" t="e">
        <f>IF(M36&lt;=servi4,((AK35*K28*($E$12-$M36+1))/$M36),IF(servi4&lt;$M36,((AK35*K28*($E$12-$M36+1))/servi4),0))</f>
        <v>#VALUE!</v>
      </c>
      <c r="AL36" s="79">
        <f>IF($M36&lt;servi4,((K28)^$M36)*(FACT($E$12))/(FACT($M36)*FACT($E$12-$M36)),0)</f>
        <v>0</v>
      </c>
      <c r="AM36" s="79">
        <f t="shared" si="30"/>
        <v>0</v>
      </c>
      <c r="AN36" s="79" t="e">
        <f t="shared" si="13"/>
        <v>#VALUE!</v>
      </c>
      <c r="AO36" s="97" t="e">
        <f t="shared" si="14"/>
        <v>#VALUE!</v>
      </c>
      <c r="AP36" s="96" t="e">
        <f>IF(M36&lt;=servi5,((AP35*K28*($E$12-$M36+1))/$M36),IF(servi5&lt;$M36,((AP35*K28*($E$12-$M36+1))/servi5),0))</f>
        <v>#VALUE!</v>
      </c>
      <c r="AQ36" s="79">
        <f>IF($M36&lt;servi5,((K28)^$M36)*(FACT($E$12))/(FACT($M36)*FACT($E$12-$M36)),0)</f>
        <v>0</v>
      </c>
      <c r="AR36" s="79">
        <f t="shared" si="32"/>
        <v>0</v>
      </c>
      <c r="AS36" s="79" t="e">
        <f t="shared" si="16"/>
        <v>#VALUE!</v>
      </c>
      <c r="AT36" s="97" t="e">
        <f t="shared" si="17"/>
        <v>#VALUE!</v>
      </c>
      <c r="AU36" s="96" t="e">
        <f>IF(M36&lt;=servi6,((AU35*K28*($E$12-$M36+1))/$M36),IF(servi6&lt;$M36,((AU35*K28*($E$12-$M36+1))/servi6),0))</f>
        <v>#VALUE!</v>
      </c>
      <c r="AV36" s="79">
        <f>IF($M36&lt;servi6,((K28)^$M36)*(FACT($E$12))/(FACT($M36)*FACT($E$12-$M36)),0)</f>
        <v>0</v>
      </c>
      <c r="AW36" s="79">
        <f t="shared" si="34"/>
        <v>0</v>
      </c>
      <c r="AX36" s="79" t="e">
        <f t="shared" si="19"/>
        <v>#VALUE!</v>
      </c>
      <c r="AY36" s="97" t="e">
        <f t="shared" si="20"/>
        <v>#VALUE!</v>
      </c>
    </row>
    <row r="37" spans="1:51" s="49" customFormat="1" ht="10.5" customHeight="1" x14ac:dyDescent="0.2">
      <c r="A37" s="169" t="e">
        <f>(AA8*AA5*(gamma^clplus2))/(FACT(B37)*(1-AA5)^2)</f>
        <v>#VALUE!</v>
      </c>
      <c r="B37" s="179">
        <f>clplus2</f>
        <v>4</v>
      </c>
      <c r="C37" s="9" t="e">
        <f t="shared" si="38"/>
        <v>#VALUE!</v>
      </c>
      <c r="D37" s="180" t="e">
        <f>csoc*clplus2*K37+csli*clplus2*(1-K37)</f>
        <v>#VALUE!</v>
      </c>
      <c r="E37" s="181" t="e">
        <f t="shared" si="39"/>
        <v>#VALUE!</v>
      </c>
      <c r="F37" s="182"/>
      <c r="G37" s="183" t="e">
        <f t="shared" si="40"/>
        <v>#VALUE!</v>
      </c>
      <c r="H37" s="184" t="e">
        <f t="shared" si="41"/>
        <v>#VALUE!</v>
      </c>
      <c r="I37" s="184" t="e">
        <f>SUM(AE:AE)</f>
        <v>#VALUE!</v>
      </c>
      <c r="J37" s="184" t="e">
        <f>SUMPRODUCT($M$8:$M$108,$AA$8:$AA108)</f>
        <v>#VALUE!</v>
      </c>
      <c r="K37" s="184" t="e">
        <f>1-SUM(AC:AC)</f>
        <v>#VALUE!</v>
      </c>
      <c r="M37" s="75">
        <v>29</v>
      </c>
      <c r="N37" s="78" t="str">
        <f>IF(E12&lt;&gt;"M",Q37,"")</f>
        <v/>
      </c>
      <c r="O37" s="78" t="e">
        <f t="shared" si="35"/>
        <v>#VALUE!</v>
      </c>
      <c r="Q37" s="96" t="e">
        <f>IF(M37&lt;=$E$8,((Q36*K28*($E$12-$M37+1))/$M37),IF($E$8&lt;$M37,((Q36*K28*($E$12-$M37+1))/$E$8),0))</f>
        <v>#VALUE!</v>
      </c>
      <c r="R37" s="79">
        <f>IF($M37&lt;$E$8,((K28)^$M37)*(FACT($E$12))/(FACT($M37)*FACT($E$12-$M37)),0)</f>
        <v>0</v>
      </c>
      <c r="S37" s="79">
        <f t="shared" si="22"/>
        <v>0</v>
      </c>
      <c r="T37" s="79" t="e">
        <f t="shared" si="36"/>
        <v>#VALUE!</v>
      </c>
      <c r="U37" s="97" t="e">
        <f t="shared" si="2"/>
        <v>#VALUE!</v>
      </c>
      <c r="V37" s="96" t="e">
        <f>IF(M37&lt;=servi1,((V36*K28*($E$12-$M37+1))/$M37),IF(servi1&lt;$M37,((V36*K28*($E$12-$M37+1))/servi1),0))</f>
        <v>#VALUE!</v>
      </c>
      <c r="W37" s="79">
        <f>IF($M37&lt;servi1,((K28)^$M37)*(FACT($E$12))/(FACT($M37)*FACT($E$12-$M37)),0)</f>
        <v>0</v>
      </c>
      <c r="X37" s="79">
        <f t="shared" si="24"/>
        <v>0</v>
      </c>
      <c r="Y37" s="79" t="e">
        <f>IF(AND($M37&gt;=servi1,$M37&lt;=$E$12),(((K28^($M37))*FACT($E$12))/((FACT(servi1))*(FACT($E$12-$M37))*(servi1^($M37-servi1)))),0)</f>
        <v>#VALUE!</v>
      </c>
      <c r="Z37" s="97" t="e">
        <f t="shared" si="5"/>
        <v>#VALUE!</v>
      </c>
      <c r="AA37" s="96" t="e">
        <f>IF(M37&lt;=servi2,((AA36*K28*($E$12-$M37+1))/$M37),IF(servi2&lt;$M37,((AA36*K28*($E$12-$M37+1))/servi2),0))</f>
        <v>#VALUE!</v>
      </c>
      <c r="AB37" s="79">
        <f>IF($M37&lt;servi2,((K28)^$M37)*(FACT($E$12))/(FACT($M37)*FACT($E$12-$M37)),0)</f>
        <v>0</v>
      </c>
      <c r="AC37" s="79">
        <f t="shared" si="26"/>
        <v>0</v>
      </c>
      <c r="AD37" s="79" t="e">
        <f>IF(AND($M37&gt;=servi2,$M37&lt;=$E$12),(((K28^($M37))*FACT($E$12))/((FACT(servi2))*(FACT($E$12-$M37))*(servi2^($M37-servi2)))),0)</f>
        <v>#VALUE!</v>
      </c>
      <c r="AE37" s="97" t="e">
        <f t="shared" si="8"/>
        <v>#VALUE!</v>
      </c>
      <c r="AF37" s="96" t="e">
        <f>IF(M37&lt;=servi3,((AF36*K28*($E$12-$M37+1))/$M37),IF(servi3&lt;$M37,((AF36*K28*($E$12-$M37+1))/servi3),0))</f>
        <v>#VALUE!</v>
      </c>
      <c r="AG37" s="79">
        <f>IF($M37&lt;servi3,((K28)^$M37)*(FACT($E$12))/(FACT($M37)*FACT($E$12-$M37)),0)</f>
        <v>0</v>
      </c>
      <c r="AH37" s="79">
        <f t="shared" si="28"/>
        <v>0</v>
      </c>
      <c r="AI37" s="79" t="e">
        <f>IF(AND($M37&gt;=servi3,$M37&lt;=$E$12),(((K28^($M37))*FACT($E$12))/((FACT(servi3))*(FACT($E$12-$M37))*(servi3^($M37-servi3)))),0)</f>
        <v>#VALUE!</v>
      </c>
      <c r="AJ37" s="97" t="e">
        <f t="shared" si="11"/>
        <v>#VALUE!</v>
      </c>
      <c r="AK37" s="96" t="e">
        <f>IF(M37&lt;=servi4,((AK36*K28*($E$12-$M37+1))/$M37),IF(servi4&lt;$M37,((AK36*K28*($E$12-$M37+1))/servi4),0))</f>
        <v>#VALUE!</v>
      </c>
      <c r="AL37" s="79">
        <f>IF($M37&lt;servi4,((K28)^$M37)*(FACT($E$12))/(FACT($M37)*FACT($E$12-$M37)),0)</f>
        <v>0</v>
      </c>
      <c r="AM37" s="79">
        <f t="shared" si="30"/>
        <v>0</v>
      </c>
      <c r="AN37" s="79" t="e">
        <f t="shared" si="13"/>
        <v>#VALUE!</v>
      </c>
      <c r="AO37" s="97" t="e">
        <f t="shared" si="14"/>
        <v>#VALUE!</v>
      </c>
      <c r="AP37" s="96" t="e">
        <f>IF(M37&lt;=servi5,((AP36*K28*($E$12-$M37+1))/$M37),IF(servi5&lt;$M37,((AP36*K28*($E$12-$M37+1))/servi5),0))</f>
        <v>#VALUE!</v>
      </c>
      <c r="AQ37" s="79">
        <f>IF($M37&lt;servi5,((K28)^$M37)*(FACT($E$12))/(FACT($M37)*FACT($E$12-$M37)),0)</f>
        <v>0</v>
      </c>
      <c r="AR37" s="79">
        <f t="shared" si="32"/>
        <v>0</v>
      </c>
      <c r="AS37" s="79" t="e">
        <f t="shared" si="16"/>
        <v>#VALUE!</v>
      </c>
      <c r="AT37" s="97" t="e">
        <f t="shared" si="17"/>
        <v>#VALUE!</v>
      </c>
      <c r="AU37" s="96" t="e">
        <f>IF(M37&lt;=servi6,((AU36*K28*($E$12-$M37+1))/$M37),IF(servi6&lt;$M37,((AU36*K28*($E$12-$M37+1))/servi6),0))</f>
        <v>#VALUE!</v>
      </c>
      <c r="AV37" s="79">
        <f>IF($M37&lt;servi6,((K28)^$M37)*(FACT($E$12))/(FACT($M37)*FACT($E$12-$M37)),0)</f>
        <v>0</v>
      </c>
      <c r="AW37" s="79">
        <f t="shared" si="34"/>
        <v>0</v>
      </c>
      <c r="AX37" s="79" t="e">
        <f t="shared" si="19"/>
        <v>#VALUE!</v>
      </c>
      <c r="AY37" s="97" t="e">
        <f t="shared" si="20"/>
        <v>#VALUE!</v>
      </c>
    </row>
    <row r="38" spans="1:51" s="49" customFormat="1" ht="10.5" customHeight="1" x14ac:dyDescent="0.2">
      <c r="A38" s="169" t="e">
        <f>(AF8*AF5*(gamma^clplus3))/(FACT(B38)*(1-AF5)^2)</f>
        <v>#VALUE!</v>
      </c>
      <c r="B38" s="179">
        <f>clplus3</f>
        <v>5</v>
      </c>
      <c r="C38" s="9" t="e">
        <f t="shared" si="38"/>
        <v>#VALUE!</v>
      </c>
      <c r="D38" s="180" t="e">
        <f>csoc*clplus3*K38+csli*clplus3*(1-K38)</f>
        <v>#VALUE!</v>
      </c>
      <c r="E38" s="181" t="e">
        <f t="shared" si="39"/>
        <v>#VALUE!</v>
      </c>
      <c r="F38" s="182"/>
      <c r="G38" s="183" t="e">
        <f t="shared" si="40"/>
        <v>#VALUE!</v>
      </c>
      <c r="H38" s="184" t="e">
        <f t="shared" si="41"/>
        <v>#VALUE!</v>
      </c>
      <c r="I38" s="184" t="e">
        <f>SUM(AJ:AJ)</f>
        <v>#VALUE!</v>
      </c>
      <c r="J38" s="184" t="e">
        <f>SUMPRODUCT($M$8:$M$108,$AF$8:$AF108)</f>
        <v>#VALUE!</v>
      </c>
      <c r="K38" s="184" t="e">
        <f>1-SUM(AH:AH)</f>
        <v>#VALUE!</v>
      </c>
      <c r="M38" s="75">
        <v>30</v>
      </c>
      <c r="N38" s="78" t="str">
        <f>IF(E12&lt;&gt;"M",Q38,"")</f>
        <v/>
      </c>
      <c r="O38" s="78" t="e">
        <f t="shared" si="35"/>
        <v>#VALUE!</v>
      </c>
      <c r="Q38" s="96" t="e">
        <f>IF(M38&lt;=$E$8,((Q37*K28*($E$12-$M38+1))/$M38),IF($E$8&lt;$M38,((Q37*K28*($E$12-$M38+1))/$E$8),0))</f>
        <v>#VALUE!</v>
      </c>
      <c r="R38" s="79">
        <f>IF($M38&lt;$E$8,((K28)^$M38)*(FACT($E$12))/(FACT($M38)*FACT($E$12-$M38)),0)</f>
        <v>0</v>
      </c>
      <c r="S38" s="79">
        <f t="shared" si="22"/>
        <v>0</v>
      </c>
      <c r="T38" s="79" t="e">
        <f t="shared" si="36"/>
        <v>#VALUE!</v>
      </c>
      <c r="U38" s="97" t="e">
        <f t="shared" si="2"/>
        <v>#VALUE!</v>
      </c>
      <c r="V38" s="96" t="e">
        <f>IF(M38&lt;=servi1,((V37*K28*($E$12-$M38+1))/$M38),IF(servi1&lt;$M38,((V37*K28*($E$12-$M38+1))/servi1),0))</f>
        <v>#VALUE!</v>
      </c>
      <c r="W38" s="79">
        <f>IF($M38&lt;servi1,((K28)^$M38)*(FACT($E$12))/(FACT($M38)*FACT($E$12-$M38)),0)</f>
        <v>0</v>
      </c>
      <c r="X38" s="79">
        <f t="shared" si="24"/>
        <v>0</v>
      </c>
      <c r="Y38" s="79" t="e">
        <f>IF(AND($M38&gt;=servi1,$M38&lt;=$E$12),(((K28^($M38))*FACT($E$12))/((FACT(servi1))*(FACT($E$12-$M38))*(servi1^($M38-servi1)))),0)</f>
        <v>#VALUE!</v>
      </c>
      <c r="Z38" s="97" t="e">
        <f t="shared" si="5"/>
        <v>#VALUE!</v>
      </c>
      <c r="AA38" s="96" t="e">
        <f>IF(M38&lt;=servi2,((AA37*K28*($E$12-$M38+1))/$M38),IF(servi2&lt;$M38,((AA37*K28*($E$12-$M38+1))/servi2),0))</f>
        <v>#VALUE!</v>
      </c>
      <c r="AB38" s="79">
        <f>IF($M38&lt;servi2,((K28)^$M38)*(FACT($E$12))/(FACT($M38)*FACT($E$12-$M38)),0)</f>
        <v>0</v>
      </c>
      <c r="AC38" s="79">
        <f t="shared" si="26"/>
        <v>0</v>
      </c>
      <c r="AD38" s="79" t="e">
        <f>IF(AND($M38&gt;=servi2,$M38&lt;=$E$12),(((K28^($M38))*FACT($E$12))/((FACT(servi2))*(FACT($E$12-$M38))*(servi2^($M38-servi2)))),0)</f>
        <v>#VALUE!</v>
      </c>
      <c r="AE38" s="97" t="e">
        <f t="shared" si="8"/>
        <v>#VALUE!</v>
      </c>
      <c r="AF38" s="96" t="e">
        <f>IF(M38&lt;=servi3,((AF37*K28*($E$12-$M38+1))/$M38),IF(servi3&lt;$M38,((AF37*K28*($E$12-$M38+1))/servi3),0))</f>
        <v>#VALUE!</v>
      </c>
      <c r="AG38" s="79">
        <f>IF($M38&lt;servi3,((K28)^$M38)*(FACT($E$12))/(FACT($M38)*FACT($E$12-$M38)),0)</f>
        <v>0</v>
      </c>
      <c r="AH38" s="79">
        <f t="shared" si="28"/>
        <v>0</v>
      </c>
      <c r="AI38" s="79" t="e">
        <f>IF(AND($M38&gt;=servi3,$M38&lt;=$E$12),(((K28^($M38))*FACT($E$12))/((FACT(servi3))*(FACT($E$12-$M38))*(servi3^($M38-servi3)))),0)</f>
        <v>#VALUE!</v>
      </c>
      <c r="AJ38" s="97" t="e">
        <f t="shared" si="11"/>
        <v>#VALUE!</v>
      </c>
      <c r="AK38" s="96" t="e">
        <f>IF(M38&lt;=servi4,((AK37*K28*($E$12-$M38+1))/$M38),IF(servi4&lt;$M38,((AK37*K28*($E$12-$M38+1))/servi4),0))</f>
        <v>#VALUE!</v>
      </c>
      <c r="AL38" s="79">
        <f>IF($M38&lt;servi4,((K28)^$M38)*(FACT($E$12))/(FACT($M38)*FACT($E$12-$M38)),0)</f>
        <v>0</v>
      </c>
      <c r="AM38" s="79">
        <f t="shared" si="30"/>
        <v>0</v>
      </c>
      <c r="AN38" s="79" t="e">
        <f t="shared" si="13"/>
        <v>#VALUE!</v>
      </c>
      <c r="AO38" s="97" t="e">
        <f t="shared" si="14"/>
        <v>#VALUE!</v>
      </c>
      <c r="AP38" s="96" t="e">
        <f>IF(M38&lt;=servi5,((AP37*K28*($E$12-$M38+1))/$M38),IF(servi5&lt;$M38,((AP37*K28*($E$12-$M38+1))/servi5),0))</f>
        <v>#VALUE!</v>
      </c>
      <c r="AQ38" s="79">
        <f>IF($M38&lt;servi5,((K28)^$M38)*(FACT($E$12))/(FACT($M38)*FACT($E$12-$M38)),0)</f>
        <v>0</v>
      </c>
      <c r="AR38" s="79">
        <f t="shared" si="32"/>
        <v>0</v>
      </c>
      <c r="AS38" s="79" t="e">
        <f t="shared" si="16"/>
        <v>#VALUE!</v>
      </c>
      <c r="AT38" s="97" t="e">
        <f t="shared" si="17"/>
        <v>#VALUE!</v>
      </c>
      <c r="AU38" s="96" t="e">
        <f>IF(M38&lt;=servi6,((AU37*K28*($E$12-$M38+1))/$M38),IF(servi6&lt;$M38,((AU37*K28*($E$12-$M38+1))/servi6),0))</f>
        <v>#VALUE!</v>
      </c>
      <c r="AV38" s="79">
        <f>IF($M38&lt;servi6,((K28)^$M38)*(FACT($E$12))/(FACT($M38)*FACT($E$12-$M38)),0)</f>
        <v>0</v>
      </c>
      <c r="AW38" s="79">
        <f t="shared" si="34"/>
        <v>0</v>
      </c>
      <c r="AX38" s="79" t="e">
        <f t="shared" si="19"/>
        <v>#VALUE!</v>
      </c>
      <c r="AY38" s="97" t="e">
        <f t="shared" si="20"/>
        <v>#VALUE!</v>
      </c>
    </row>
    <row r="39" spans="1:51" s="49" customFormat="1" ht="10.5" customHeight="1" x14ac:dyDescent="0.2">
      <c r="A39" s="169" t="e">
        <f>(AK8*AK5*(gamma^clplus4))/(FACT(B39)*(1-AK5)^2)</f>
        <v>#VALUE!</v>
      </c>
      <c r="B39" s="179">
        <f>clplus4</f>
        <v>6</v>
      </c>
      <c r="C39" s="9" t="e">
        <f t="shared" si="38"/>
        <v>#VALUE!</v>
      </c>
      <c r="D39" s="180" t="e">
        <f>csoc*clplus4*K39+csli*clplus4*(1-K39)</f>
        <v>#VALUE!</v>
      </c>
      <c r="E39" s="181" t="e">
        <f t="shared" si="39"/>
        <v>#VALUE!</v>
      </c>
      <c r="F39" s="182"/>
      <c r="G39" s="183" t="e">
        <f t="shared" si="40"/>
        <v>#VALUE!</v>
      </c>
      <c r="H39" s="184" t="e">
        <f t="shared" si="41"/>
        <v>#VALUE!</v>
      </c>
      <c r="I39" s="184" t="e">
        <f>SUM(AO:AO)</f>
        <v>#VALUE!</v>
      </c>
      <c r="J39" s="184" t="e">
        <f>SUMPRODUCT($M$8:$M$108,$AK$8:$AK108)</f>
        <v>#VALUE!</v>
      </c>
      <c r="K39" s="184" t="e">
        <f>1-SUM(AM:AM)</f>
        <v>#VALUE!</v>
      </c>
      <c r="M39" s="75">
        <v>31</v>
      </c>
      <c r="N39" s="78" t="str">
        <f>IF(E12&lt;&gt;"M",Q39,"")</f>
        <v/>
      </c>
      <c r="O39" s="78" t="e">
        <f t="shared" si="35"/>
        <v>#VALUE!</v>
      </c>
      <c r="Q39" s="96" t="e">
        <f>IF(M39&lt;=$E$8,((Q38*K28*($E$12-$M39+1))/$M39),IF($E$8&lt;$M39,((Q38*K28*($E$12-$M39+1))/$E$8),0))</f>
        <v>#VALUE!</v>
      </c>
      <c r="R39" s="79">
        <f>IF($M39&lt;$E$8,((K28)^$M39)*(FACT($E$12))/(FACT($M39)*FACT($E$12-$M39)),0)</f>
        <v>0</v>
      </c>
      <c r="S39" s="79">
        <f t="shared" si="22"/>
        <v>0</v>
      </c>
      <c r="T39" s="79" t="e">
        <f t="shared" si="36"/>
        <v>#VALUE!</v>
      </c>
      <c r="U39" s="97" t="e">
        <f t="shared" si="2"/>
        <v>#VALUE!</v>
      </c>
      <c r="V39" s="96" t="e">
        <f>IF(M39&lt;=servi1,((V38*K28*($E$12-$M39+1))/$M39),IF(servi1&lt;$M39,((V38*K28*($E$12-$M39+1))/servi1),0))</f>
        <v>#VALUE!</v>
      </c>
      <c r="W39" s="79">
        <f>IF($M39&lt;servi1,((K28)^$M39)*(FACT($E$12))/(FACT($M39)*FACT($E$12-$M39)),0)</f>
        <v>0</v>
      </c>
      <c r="X39" s="79">
        <f t="shared" si="24"/>
        <v>0</v>
      </c>
      <c r="Y39" s="79" t="e">
        <f>IF(AND($M39&gt;=servi1,$M39&lt;=$E$12),(((K28^($M39))*FACT($E$12))/((FACT(servi1))*(FACT($E$12-$M39))*(servi1^($M39-servi1)))),0)</f>
        <v>#VALUE!</v>
      </c>
      <c r="Z39" s="97" t="e">
        <f t="shared" si="5"/>
        <v>#VALUE!</v>
      </c>
      <c r="AA39" s="96" t="e">
        <f>IF(M39&lt;=servi2,((AA38*K28*($E$12-$M39+1))/$M39),IF(servi2&lt;$M39,((AA38*K28*($E$12-$M39+1))/servi2),0))</f>
        <v>#VALUE!</v>
      </c>
      <c r="AB39" s="79">
        <f>IF($M39&lt;servi2,((K28)^$M39)*(FACT($E$12))/(FACT($M39)*FACT($E$12-$M39)),0)</f>
        <v>0</v>
      </c>
      <c r="AC39" s="79">
        <f t="shared" si="26"/>
        <v>0</v>
      </c>
      <c r="AD39" s="79" t="e">
        <f>IF(AND($M39&gt;=servi2,$M39&lt;=$E$12),(((K28^($M39))*FACT($E$12))/((FACT(servi2))*(FACT($E$12-$M39))*(servi2^($M39-servi2)))),0)</f>
        <v>#VALUE!</v>
      </c>
      <c r="AE39" s="97" t="e">
        <f t="shared" si="8"/>
        <v>#VALUE!</v>
      </c>
      <c r="AF39" s="96" t="e">
        <f>IF(M39&lt;=servi3,((AF38*K28*($E$12-$M39+1))/$M39),IF(servi3&lt;$M39,((AF38*K28*($E$12-$M39+1))/servi3),0))</f>
        <v>#VALUE!</v>
      </c>
      <c r="AG39" s="79">
        <f>IF($M39&lt;servi3,((K28)^$M39)*(FACT($E$12))/(FACT($M39)*FACT($E$12-$M39)),0)</f>
        <v>0</v>
      </c>
      <c r="AH39" s="79">
        <f t="shared" si="28"/>
        <v>0</v>
      </c>
      <c r="AI39" s="79" t="e">
        <f>IF(AND($M39&gt;=servi3,$M39&lt;=$E$12),(((K28^($M39))*FACT($E$12))/((FACT(servi3))*(FACT($E$12-$M39))*(servi3^($M39-servi3)))),0)</f>
        <v>#VALUE!</v>
      </c>
      <c r="AJ39" s="97" t="e">
        <f t="shared" si="11"/>
        <v>#VALUE!</v>
      </c>
      <c r="AK39" s="96" t="e">
        <f>IF(M39&lt;=servi4,((AK38*K28*($E$12-$M39+1))/$M39),IF(servi4&lt;$M39,((AK38*K28*($E$12-$M39+1))/servi4),0))</f>
        <v>#VALUE!</v>
      </c>
      <c r="AL39" s="79">
        <f>IF($M39&lt;servi4,((K28)^$M39)*(FACT($E$12))/(FACT($M39)*FACT($E$12-$M39)),0)</f>
        <v>0</v>
      </c>
      <c r="AM39" s="79">
        <f t="shared" si="30"/>
        <v>0</v>
      </c>
      <c r="AN39" s="79" t="e">
        <f t="shared" si="13"/>
        <v>#VALUE!</v>
      </c>
      <c r="AO39" s="97" t="e">
        <f t="shared" si="14"/>
        <v>#VALUE!</v>
      </c>
      <c r="AP39" s="96" t="e">
        <f>IF(M39&lt;=servi5,((AP38*K28*($E$12-$M39+1))/$M39),IF(servi5&lt;$M39,((AP38*K28*($E$12-$M39+1))/servi5),0))</f>
        <v>#VALUE!</v>
      </c>
      <c r="AQ39" s="79">
        <f>IF($M39&lt;servi5,((K28)^$M39)*(FACT($E$12))/(FACT($M39)*FACT($E$12-$M39)),0)</f>
        <v>0</v>
      </c>
      <c r="AR39" s="79">
        <f t="shared" si="32"/>
        <v>0</v>
      </c>
      <c r="AS39" s="79" t="e">
        <f t="shared" si="16"/>
        <v>#VALUE!</v>
      </c>
      <c r="AT39" s="97" t="e">
        <f t="shared" si="17"/>
        <v>#VALUE!</v>
      </c>
      <c r="AU39" s="96" t="e">
        <f>IF(M39&lt;=servi6,((AU38*K28*($E$12-$M39+1))/$M39),IF(servi6&lt;$M39,((AU38*K28*($E$12-$M39+1))/servi6),0))</f>
        <v>#VALUE!</v>
      </c>
      <c r="AV39" s="79">
        <f>IF($M39&lt;servi6,((K28)^$M39)*(FACT($E$12))/(FACT($M39)*FACT($E$12-$M39)),0)</f>
        <v>0</v>
      </c>
      <c r="AW39" s="79">
        <f t="shared" si="34"/>
        <v>0</v>
      </c>
      <c r="AX39" s="79" t="e">
        <f t="shared" si="19"/>
        <v>#VALUE!</v>
      </c>
      <c r="AY39" s="97" t="e">
        <f t="shared" si="20"/>
        <v>#VALUE!</v>
      </c>
    </row>
    <row r="40" spans="1:51" s="49" customFormat="1" ht="10.5" customHeight="1" x14ac:dyDescent="0.2">
      <c r="A40" s="169" t="e">
        <f>(AP8*AP5*(gamma^clplus5))/(FACT(B40)*(1-AP5)^2)</f>
        <v>#VALUE!</v>
      </c>
      <c r="B40" s="179">
        <f>clplus5</f>
        <v>7</v>
      </c>
      <c r="C40" s="9" t="e">
        <f t="shared" si="38"/>
        <v>#VALUE!</v>
      </c>
      <c r="D40" s="180" t="e">
        <f>csoc*clplus5*K40+csli*clplus5*(1-K40)</f>
        <v>#VALUE!</v>
      </c>
      <c r="E40" s="181" t="e">
        <f t="shared" si="39"/>
        <v>#VALUE!</v>
      </c>
      <c r="F40" s="182"/>
      <c r="G40" s="183" t="e">
        <f t="shared" si="40"/>
        <v>#VALUE!</v>
      </c>
      <c r="H40" s="184" t="e">
        <f t="shared" si="41"/>
        <v>#VALUE!</v>
      </c>
      <c r="I40" s="184" t="e">
        <f>SUM(AT:AT)</f>
        <v>#VALUE!</v>
      </c>
      <c r="J40" s="184" t="e">
        <f>SUMPRODUCT($M$8:$M$108,$AP$8:$AP108)</f>
        <v>#VALUE!</v>
      </c>
      <c r="K40" s="184" t="e">
        <f>1-SUM(AR:AR)</f>
        <v>#VALUE!</v>
      </c>
      <c r="M40" s="75">
        <v>32</v>
      </c>
      <c r="N40" s="78" t="str">
        <f>IF(E12&lt;&gt;"M",Q40,"")</f>
        <v/>
      </c>
      <c r="O40" s="78" t="e">
        <f t="shared" si="35"/>
        <v>#VALUE!</v>
      </c>
      <c r="Q40" s="96" t="e">
        <f>IF(M40&lt;=$E$8,((Q39*K28*($E$12-$M40+1))/$M40),IF($E$8&lt;$M40,((Q39*K28*($E$12-$M40+1))/$E$8),0))</f>
        <v>#VALUE!</v>
      </c>
      <c r="R40" s="79">
        <f>IF($M40&lt;$E$8,((K28)^$M40)*(FACT($E$12))/(FACT($M40)*FACT($E$12-$M40)),0)</f>
        <v>0</v>
      </c>
      <c r="S40" s="79">
        <f t="shared" si="22"/>
        <v>0</v>
      </c>
      <c r="T40" s="79" t="e">
        <f t="shared" si="36"/>
        <v>#VALUE!</v>
      </c>
      <c r="U40" s="97" t="e">
        <f t="shared" ref="U40:U71" si="42">IF(AND($M40&gt;=$E$8+1,$M40&lt;=$E$12),($M40-$E$8)*Q40,0)</f>
        <v>#VALUE!</v>
      </c>
      <c r="V40" s="96" t="e">
        <f>IF(M40&lt;=servi1,((V39*K28*($E$12-$M40+1))/$M40),IF(servi1&lt;$M40,((V39*K28*($E$12-$M40+1))/servi1),0))</f>
        <v>#VALUE!</v>
      </c>
      <c r="W40" s="79">
        <f>IF($M40&lt;servi1,((K28)^$M40)*(FACT($E$12))/(FACT($M40)*FACT($E$12-$M40)),0)</f>
        <v>0</v>
      </c>
      <c r="X40" s="79">
        <f t="shared" si="24"/>
        <v>0</v>
      </c>
      <c r="Y40" s="79" t="e">
        <f>IF(AND($M40&gt;=servi1,$M40&lt;=$E$12),(((K28^($M40))*FACT($E$12))/((FACT(servi1))*(FACT($E$12-$M40))*(servi1^($M40-servi1)))),0)</f>
        <v>#VALUE!</v>
      </c>
      <c r="Z40" s="97" t="e">
        <f t="shared" ref="Z40:Z71" si="43">IF(AND($M40&gt;=servi1+1,$M40&lt;=$E$12),($M40-servi1)*V40,0)</f>
        <v>#VALUE!</v>
      </c>
      <c r="AA40" s="96" t="e">
        <f>IF(M40&lt;=servi2,((AA39*K28*($E$12-$M40+1))/$M40),IF(servi2&lt;$M40,((AA39*K28*($E$12-$M40+1))/servi2),0))</f>
        <v>#VALUE!</v>
      </c>
      <c r="AB40" s="79">
        <f>IF($M40&lt;servi2,((K28)^$M40)*(FACT($E$12))/(FACT($M40)*FACT($E$12-$M40)),0)</f>
        <v>0</v>
      </c>
      <c r="AC40" s="79">
        <f t="shared" si="26"/>
        <v>0</v>
      </c>
      <c r="AD40" s="79" t="e">
        <f>IF(AND($M40&gt;=servi2,$M40&lt;=$E$12),(((K28^($M40))*FACT($E$12))/((FACT(servi2))*(FACT($E$12-$M40))*(servi2^($M40-servi2)))),0)</f>
        <v>#VALUE!</v>
      </c>
      <c r="AE40" s="97" t="e">
        <f t="shared" ref="AE40:AE71" si="44">IF(AND($M40&gt;=servi2+1,$M40&lt;=$E$12),($M40-servi2)*AA40,0)</f>
        <v>#VALUE!</v>
      </c>
      <c r="AF40" s="96" t="e">
        <f>IF(M40&lt;=servi3,((AF39*K28*($E$12-$M40+1))/$M40),IF(servi3&lt;$M40,((AF39*K28*($E$12-$M40+1))/servi3),0))</f>
        <v>#VALUE!</v>
      </c>
      <c r="AG40" s="79">
        <f>IF($M40&lt;servi3,((K28)^$M40)*(FACT($E$12))/(FACT($M40)*FACT($E$12-$M40)),0)</f>
        <v>0</v>
      </c>
      <c r="AH40" s="79">
        <f t="shared" si="28"/>
        <v>0</v>
      </c>
      <c r="AI40" s="79" t="e">
        <f>IF(AND($M40&gt;=servi3,$M40&lt;=$E$12),(((K28^($M40))*FACT($E$12))/((FACT(servi3))*(FACT($E$12-$M40))*(servi3^($M40-servi3)))),0)</f>
        <v>#VALUE!</v>
      </c>
      <c r="AJ40" s="97" t="e">
        <f t="shared" ref="AJ40:AJ71" si="45">IF(AND($M40&gt;=servi3+1,$M40&lt;=$E$12),($M40-servi3)*AF40,0)</f>
        <v>#VALUE!</v>
      </c>
      <c r="AK40" s="96" t="e">
        <f>IF(M40&lt;=servi4,((AK39*K28*($E$12-$M40+1))/$M40),IF(servi4&lt;$M40,((AK39*K28*($E$12-$M40+1))/servi4),0))</f>
        <v>#VALUE!</v>
      </c>
      <c r="AL40" s="79">
        <f>IF($M40&lt;servi4,((K28)^$M40)*(FACT($E$12))/(FACT($M40)*FACT($E$12-$M40)),0)</f>
        <v>0</v>
      </c>
      <c r="AM40" s="79">
        <f t="shared" si="30"/>
        <v>0</v>
      </c>
      <c r="AN40" s="79" t="e">
        <f t="shared" ref="AN40:AN71" si="46">IF(AND($M40&gt;=servi4,$M40&lt;=$E$12),((($K$28^($M40))*FACT($E$12))/((FACT(servi4))*(FACT($E$12-$M40))*(servi4^($M40-servi4)))),0)</f>
        <v>#VALUE!</v>
      </c>
      <c r="AO40" s="97" t="e">
        <f t="shared" ref="AO40:AO71" si="47">IF(AND($M40&gt;=servi4+1,$M40&lt;=$E$12),($M40-servi4)*AK40,0)</f>
        <v>#VALUE!</v>
      </c>
      <c r="AP40" s="96" t="e">
        <f>IF(M40&lt;=servi5,((AP39*K28*($E$12-$M40+1))/$M40),IF(servi5&lt;$M40,((AP39*K28*($E$12-$M40+1))/servi5),0))</f>
        <v>#VALUE!</v>
      </c>
      <c r="AQ40" s="79">
        <f>IF($M40&lt;servi5,((K28)^$M40)*(FACT($E$12))/(FACT($M40)*FACT($E$12-$M40)),0)</f>
        <v>0</v>
      </c>
      <c r="AR40" s="79">
        <f t="shared" si="32"/>
        <v>0</v>
      </c>
      <c r="AS40" s="79" t="e">
        <f t="shared" ref="AS40:AS71" si="48">IF(AND($M40&gt;=servi5,$M40&lt;=$E$12),((($K$28^($M40))*FACT($E$12))/((FACT(servi5))*(FACT($E$12-$M40))*(servi5^($M40-servi5)))),0)</f>
        <v>#VALUE!</v>
      </c>
      <c r="AT40" s="97" t="e">
        <f t="shared" ref="AT40:AT71" si="49">IF(AND($M40&gt;=servi5+1,$M40&lt;=$E$12),($M40-servi5)*AP40,0)</f>
        <v>#VALUE!</v>
      </c>
      <c r="AU40" s="96" t="e">
        <f>IF(M40&lt;=servi6,((AU39*K28*($E$12-$M40+1))/$M40),IF(servi6&lt;$M40,((AU39*K28*($E$12-$M40+1))/servi6),0))</f>
        <v>#VALUE!</v>
      </c>
      <c r="AV40" s="79">
        <f>IF($M40&lt;servi6,((K28)^$M40)*(FACT($E$12))/(FACT($M40)*FACT($E$12-$M40)),0)</f>
        <v>0</v>
      </c>
      <c r="AW40" s="79">
        <f t="shared" si="34"/>
        <v>0</v>
      </c>
      <c r="AX40" s="79" t="e">
        <f t="shared" ref="AX40:AX71" si="50">IF(AND($M40&gt;=servi6,$M40&lt;=$E$12),((($K$28^($M40))*FACT($E$12))/((FACT(servi6))*(FACT($E$12-$M40))*(servi6^($M40-servi6)))),0)</f>
        <v>#VALUE!</v>
      </c>
      <c r="AY40" s="97" t="e">
        <f t="shared" ref="AY40:AY71" si="51">IF(AND($M40&gt;=servi6+1,$M40&lt;=$E$12),($M40-servi6)*AU40,0)</f>
        <v>#VALUE!</v>
      </c>
    </row>
    <row r="41" spans="1:51" s="49" customFormat="1" ht="10.5" customHeight="1" x14ac:dyDescent="0.2">
      <c r="A41" s="169" t="e">
        <f>(AU8*AU5*(gamma^clminus1))/(FACT(B41)*(1-AU5)^2)</f>
        <v>#VALUE!</v>
      </c>
      <c r="B41" s="179">
        <f>clminus1</f>
        <v>8</v>
      </c>
      <c r="C41" s="9" t="e">
        <f>D41+E41</f>
        <v>#VALUE!</v>
      </c>
      <c r="D41" s="180" t="e">
        <f>csoc*clminus1*K41+csli*clminus1*(1-K41)</f>
        <v>#VALUE!</v>
      </c>
      <c r="E41" s="181" t="e">
        <f t="shared" si="39"/>
        <v>#VALUE!</v>
      </c>
      <c r="F41" s="182"/>
      <c r="G41" s="183" t="e">
        <f t="shared" si="40"/>
        <v>#VALUE!</v>
      </c>
      <c r="H41" s="184" t="e">
        <f t="shared" si="41"/>
        <v>#VALUE!</v>
      </c>
      <c r="I41" s="184" t="e">
        <f>SUM(AY:AY)</f>
        <v>#VALUE!</v>
      </c>
      <c r="J41" s="184" t="e">
        <f>SUMPRODUCT($M$8:$M$108,$AU$8:$AU108)</f>
        <v>#VALUE!</v>
      </c>
      <c r="K41" s="184" t="e">
        <f>1-SUM(AW:AW)</f>
        <v>#VALUE!</v>
      </c>
      <c r="M41" s="75">
        <v>33</v>
      </c>
      <c r="N41" s="78" t="str">
        <f>IF(E12&lt;&gt;"M",Q41,"")</f>
        <v/>
      </c>
      <c r="O41" s="78" t="e">
        <f t="shared" si="35"/>
        <v>#VALUE!</v>
      </c>
      <c r="Q41" s="96" t="e">
        <f>IF(M41&lt;=$E$8,((Q40*K28*($E$12-$M41+1))/$M41),IF($E$8&lt;$M41,((Q40*K28*($E$12-$M41+1))/$E$8),0))</f>
        <v>#VALUE!</v>
      </c>
      <c r="R41" s="79">
        <f>IF($M41&lt;$E$8,((K28)^$M41)*(FACT($E$12))/(FACT($M41)*FACT($E$12-$M41)),0)</f>
        <v>0</v>
      </c>
      <c r="S41" s="79">
        <f t="shared" ref="S41:S72" si="52">IF($M41&lt;$E$8,($Q41*(($E$8-M41)/$E$8)),0)</f>
        <v>0</v>
      </c>
      <c r="T41" s="79" t="e">
        <f t="shared" si="36"/>
        <v>#VALUE!</v>
      </c>
      <c r="U41" s="97" t="e">
        <f t="shared" si="42"/>
        <v>#VALUE!</v>
      </c>
      <c r="V41" s="96" t="e">
        <f>IF(M41&lt;=servi1,((V40*K28*($E$12-$M41+1))/$M41),IF(servi1&lt;$M41,((V40*K28*($E$12-$M41+1))/servi1),0))</f>
        <v>#VALUE!</v>
      </c>
      <c r="W41" s="79">
        <f>IF($M41&lt;servi1,((K28)^$M41)*(FACT($E$12))/(FACT($M41)*FACT($E$12-$M41)),0)</f>
        <v>0</v>
      </c>
      <c r="X41" s="79">
        <f t="shared" ref="X41:X72" si="53">IF($M41&lt;servi1,(((servi1-1)/servi1)*$Q41),0)</f>
        <v>0</v>
      </c>
      <c r="Y41" s="79" t="e">
        <f>IF(AND($M41&gt;=servi1,$M41&lt;=$E$12),(((K28^($M41))*FACT($E$12))/((FACT(servi1))*(FACT($E$12-$M41))*(servi1^($M41-servi1)))),0)</f>
        <v>#VALUE!</v>
      </c>
      <c r="Z41" s="97" t="e">
        <f t="shared" si="43"/>
        <v>#VALUE!</v>
      </c>
      <c r="AA41" s="96" t="e">
        <f>IF(M41&lt;=servi2,((AA40*K28*($E$12-$M41+1))/$M41),IF(servi2&lt;$M41,((AA40*K28*($E$12-$M41+1))/servi2),0))</f>
        <v>#VALUE!</v>
      </c>
      <c r="AB41" s="79">
        <f>IF($M41&lt;servi2,((K28)^$M41)*(FACT($E$12))/(FACT($M41)*FACT($E$12-$M41)),0)</f>
        <v>0</v>
      </c>
      <c r="AC41" s="79">
        <f t="shared" ref="AC41:AC72" si="54">IF($M41&lt;servi2,(((servi2-1)/servi2)*$Q41),0)</f>
        <v>0</v>
      </c>
      <c r="AD41" s="79" t="e">
        <f>IF(AND($M41&gt;=servi2,$M41&lt;=$E$12),(((K28^($M41))*FACT($E$12))/((FACT(servi2))*(FACT($E$12-$M41))*(servi2^($M41-servi2)))),0)</f>
        <v>#VALUE!</v>
      </c>
      <c r="AE41" s="97" t="e">
        <f t="shared" si="44"/>
        <v>#VALUE!</v>
      </c>
      <c r="AF41" s="96" t="e">
        <f>IF(M41&lt;=servi3,((AF40*K28*($E$12-$M41+1))/$M41),IF(servi3&lt;$M41,((AF40*K28*($E$12-$M41+1))/servi3),0))</f>
        <v>#VALUE!</v>
      </c>
      <c r="AG41" s="79">
        <f>IF($M41&lt;servi3,((K28)^$M41)*(FACT($E$12))/(FACT($M41)*FACT($E$12-$M41)),0)</f>
        <v>0</v>
      </c>
      <c r="AH41" s="79">
        <f t="shared" ref="AH41:AH72" si="55">IF($M41&lt;servi3,(((servi3-1)/servi3)*$Q41),0)</f>
        <v>0</v>
      </c>
      <c r="AI41" s="79" t="e">
        <f>IF(AND($M41&gt;=servi3,$M41&lt;=$E$12),(((K28^($M41))*FACT($E$12))/((FACT(servi3))*(FACT($E$12-$M41))*(servi3^($M41-servi3)))),0)</f>
        <v>#VALUE!</v>
      </c>
      <c r="AJ41" s="97" t="e">
        <f t="shared" si="45"/>
        <v>#VALUE!</v>
      </c>
      <c r="AK41" s="96" t="e">
        <f>IF(M41&lt;=servi4,((AK40*K28*($E$12-$M41+1))/$M41),IF(servi4&lt;$M41,((AK40*K28*($E$12-$M41+1))/servi4),0))</f>
        <v>#VALUE!</v>
      </c>
      <c r="AL41" s="79">
        <f>IF($M41&lt;servi4,((K28)^$M41)*(FACT($E$12))/(FACT($M41)*FACT($E$12-$M41)),0)</f>
        <v>0</v>
      </c>
      <c r="AM41" s="79">
        <f t="shared" ref="AM41:AM72" si="56">IF($M41&lt;servi4,(((servi4-1)/servi4)*$Q41),0)</f>
        <v>0</v>
      </c>
      <c r="AN41" s="79" t="e">
        <f t="shared" si="46"/>
        <v>#VALUE!</v>
      </c>
      <c r="AO41" s="97" t="e">
        <f t="shared" si="47"/>
        <v>#VALUE!</v>
      </c>
      <c r="AP41" s="96" t="e">
        <f>IF(M41&lt;=servi5,((AP40*K28*($E$12-$M41+1))/$M41),IF(servi5&lt;$M41,((AP40*K28*($E$12-$M41+1))/servi5),0))</f>
        <v>#VALUE!</v>
      </c>
      <c r="AQ41" s="79">
        <f>IF($M41&lt;servi5,((K28)^$M41)*(FACT($E$12))/(FACT($M41)*FACT($E$12-$M41)),0)</f>
        <v>0</v>
      </c>
      <c r="AR41" s="79">
        <f t="shared" ref="AR41:AR72" si="57">IF($M41&lt;servi5,(((servi5-1)/servi5)*$Q41),0)</f>
        <v>0</v>
      </c>
      <c r="AS41" s="79" t="e">
        <f t="shared" si="48"/>
        <v>#VALUE!</v>
      </c>
      <c r="AT41" s="97" t="e">
        <f t="shared" si="49"/>
        <v>#VALUE!</v>
      </c>
      <c r="AU41" s="96" t="e">
        <f>IF(M41&lt;=servi6,((AU40*K28*($E$12-$M41+1))/$M41),IF(servi6&lt;$M41,((AU40*K28*($E$12-$M41+1))/servi6),0))</f>
        <v>#VALUE!</v>
      </c>
      <c r="AV41" s="79">
        <f>IF($M41&lt;servi6,((K28)^$M41)*(FACT($E$12))/(FACT($M41)*FACT($E$12-$M41)),0)</f>
        <v>0</v>
      </c>
      <c r="AW41" s="79">
        <f t="shared" ref="AW41:AW72" si="58">IF($M41&lt;servi6,(((servi6-1)/servi6)*$Q41),0)</f>
        <v>0</v>
      </c>
      <c r="AX41" s="79" t="e">
        <f t="shared" si="50"/>
        <v>#VALUE!</v>
      </c>
      <c r="AY41" s="97" t="e">
        <f t="shared" si="51"/>
        <v>#VALUE!</v>
      </c>
    </row>
    <row r="42" spans="1:51" s="49" customFormat="1" ht="10.5" customHeight="1" x14ac:dyDescent="0.2">
      <c r="D42" s="82"/>
      <c r="J42" s="50"/>
      <c r="K42" s="51"/>
      <c r="M42" s="75">
        <v>34</v>
      </c>
      <c r="N42" s="78" t="str">
        <f>IF(E12&lt;&gt;"M",Q42,"")</f>
        <v/>
      </c>
      <c r="O42" s="78" t="e">
        <f t="shared" si="35"/>
        <v>#VALUE!</v>
      </c>
      <c r="Q42" s="96" t="e">
        <f>IF(M42&lt;=$E$8,((Q41*K28*($E$12-$M42+1))/$M42),IF($E$8&lt;$M42,((Q41*K28*($E$12-$M42+1))/$E$8),0))</f>
        <v>#VALUE!</v>
      </c>
      <c r="R42" s="79">
        <f>IF($M42&lt;$E$8,((K28)^$M42)*(FACT($E$12))/(FACT($M42)*FACT($E$12-$M42)),0)</f>
        <v>0</v>
      </c>
      <c r="S42" s="79">
        <f t="shared" si="52"/>
        <v>0</v>
      </c>
      <c r="T42" s="79" t="e">
        <f t="shared" si="36"/>
        <v>#VALUE!</v>
      </c>
      <c r="U42" s="97" t="e">
        <f t="shared" si="42"/>
        <v>#VALUE!</v>
      </c>
      <c r="V42" s="96" t="e">
        <f>IF(M42&lt;=servi1,((V41*K28*($E$12-$M42+1))/$M42),IF(servi1&lt;$M42,((V41*K28*($E$12-$M42+1))/servi1),0))</f>
        <v>#VALUE!</v>
      </c>
      <c r="W42" s="79">
        <f>IF($M42&lt;servi1,((K28)^$M42)*(FACT($E$12))/(FACT($M42)*FACT($E$12-$M42)),0)</f>
        <v>0</v>
      </c>
      <c r="X42" s="79">
        <f t="shared" si="53"/>
        <v>0</v>
      </c>
      <c r="Y42" s="79" t="e">
        <f>IF(AND($M42&gt;=servi1,$M42&lt;=$E$12),(((K28^($M42))*FACT($E$12))/((FACT(servi1))*(FACT($E$12-$M42))*(servi1^($M42-servi1)))),0)</f>
        <v>#VALUE!</v>
      </c>
      <c r="Z42" s="97" t="e">
        <f t="shared" si="43"/>
        <v>#VALUE!</v>
      </c>
      <c r="AA42" s="96" t="e">
        <f>IF(M42&lt;=servi2,((AA41*K28*($E$12-$M42+1))/$M42),IF(servi2&lt;$M42,((AA41*K28*($E$12-$M42+1))/servi2),0))</f>
        <v>#VALUE!</v>
      </c>
      <c r="AB42" s="79">
        <f>IF($M42&lt;servi2,((K28)^$M42)*(FACT($E$12))/(FACT($M42)*FACT($E$12-$M42)),0)</f>
        <v>0</v>
      </c>
      <c r="AC42" s="79">
        <f t="shared" si="54"/>
        <v>0</v>
      </c>
      <c r="AD42" s="79" t="e">
        <f>IF(AND($M42&gt;=servi2,$M42&lt;=$E$12),(((K28^($M42))*FACT($E$12))/((FACT(servi2))*(FACT($E$12-$M42))*(servi2^($M42-servi2)))),0)</f>
        <v>#VALUE!</v>
      </c>
      <c r="AE42" s="97" t="e">
        <f t="shared" si="44"/>
        <v>#VALUE!</v>
      </c>
      <c r="AF42" s="96" t="e">
        <f>IF(M42&lt;=servi3,((AF41*K28*($E$12-$M42+1))/$M42),IF(servi3&lt;$M42,((AF41*K28*($E$12-$M42+1))/servi3),0))</f>
        <v>#VALUE!</v>
      </c>
      <c r="AG42" s="79">
        <f>IF($M42&lt;servi3,((K28)^$M42)*(FACT($E$12))/(FACT($M42)*FACT($E$12-$M42)),0)</f>
        <v>0</v>
      </c>
      <c r="AH42" s="79">
        <f t="shared" si="55"/>
        <v>0</v>
      </c>
      <c r="AI42" s="79" t="e">
        <f>IF(AND($M42&gt;=servi3,$M42&lt;=$E$12),(((K28^($M42))*FACT($E$12))/((FACT(servi3))*(FACT($E$12-$M42))*(servi3^($M42-servi3)))),0)</f>
        <v>#VALUE!</v>
      </c>
      <c r="AJ42" s="97" t="e">
        <f t="shared" si="45"/>
        <v>#VALUE!</v>
      </c>
      <c r="AK42" s="96" t="e">
        <f>IF(M42&lt;=servi4,((AK41*K28*($E$12-$M42+1))/$M42),IF(servi4&lt;$M42,((AK41*K28*($E$12-$M42+1))/servi4),0))</f>
        <v>#VALUE!</v>
      </c>
      <c r="AL42" s="79">
        <f>IF($M42&lt;servi4,((K28)^$M42)*(FACT($E$12))/(FACT($M42)*FACT($E$12-$M42)),0)</f>
        <v>0</v>
      </c>
      <c r="AM42" s="79">
        <f t="shared" si="56"/>
        <v>0</v>
      </c>
      <c r="AN42" s="79" t="e">
        <f t="shared" si="46"/>
        <v>#VALUE!</v>
      </c>
      <c r="AO42" s="97" t="e">
        <f t="shared" si="47"/>
        <v>#VALUE!</v>
      </c>
      <c r="AP42" s="96" t="e">
        <f>IF(M42&lt;=servi5,((AP41*K28*($E$12-$M42+1))/$M42),IF(servi5&lt;$M42,((AP41*K28*($E$12-$M42+1))/servi5),0))</f>
        <v>#VALUE!</v>
      </c>
      <c r="AQ42" s="79">
        <f>IF($M42&lt;servi5,((K28)^$M42)*(FACT($E$12))/(FACT($M42)*FACT($E$12-$M42)),0)</f>
        <v>0</v>
      </c>
      <c r="AR42" s="79">
        <f t="shared" si="57"/>
        <v>0</v>
      </c>
      <c r="AS42" s="79" t="e">
        <f t="shared" si="48"/>
        <v>#VALUE!</v>
      </c>
      <c r="AT42" s="97" t="e">
        <f t="shared" si="49"/>
        <v>#VALUE!</v>
      </c>
      <c r="AU42" s="96" t="e">
        <f>IF(M42&lt;=servi6,((AU41*K28*($E$12-$M42+1))/$M42),IF(servi6&lt;$M42,((AU41*K28*($E$12-$M42+1))/servi6),0))</f>
        <v>#VALUE!</v>
      </c>
      <c r="AV42" s="79">
        <f>IF($M42&lt;servi6,((K28)^$M42)*(FACT($E$12))/(FACT($M42)*FACT($E$12-$M42)),0)</f>
        <v>0</v>
      </c>
      <c r="AW42" s="79">
        <f t="shared" si="58"/>
        <v>0</v>
      </c>
      <c r="AX42" s="79" t="e">
        <f t="shared" si="50"/>
        <v>#VALUE!</v>
      </c>
      <c r="AY42" s="97" t="e">
        <f t="shared" si="51"/>
        <v>#VALUE!</v>
      </c>
    </row>
    <row r="43" spans="1:51" s="49" customFormat="1" ht="10.5" customHeight="1" x14ac:dyDescent="0.2">
      <c r="D43" s="82"/>
      <c r="J43" s="50"/>
      <c r="K43" s="51"/>
      <c r="M43" s="75">
        <v>35</v>
      </c>
      <c r="N43" s="78" t="str">
        <f>IF(E12&lt;&gt;"M",Q43,"")</f>
        <v/>
      </c>
      <c r="O43" s="78" t="e">
        <f t="shared" si="35"/>
        <v>#VALUE!</v>
      </c>
      <c r="Q43" s="96" t="e">
        <f>IF(M43&lt;=$E$8,((Q42*K28*($E$12-$M43+1))/$M43),IF($E$8&lt;$M43,((Q42*K28*($E$12-$M43+1))/$E$8),0))</f>
        <v>#VALUE!</v>
      </c>
      <c r="R43" s="79">
        <f>IF($M43&lt;$E$8,((K28)^$M43)*(FACT($E$12))/(FACT($M43)*FACT($E$12-$M43)),0)</f>
        <v>0</v>
      </c>
      <c r="S43" s="79">
        <f t="shared" si="52"/>
        <v>0</v>
      </c>
      <c r="T43" s="79" t="e">
        <f t="shared" si="36"/>
        <v>#VALUE!</v>
      </c>
      <c r="U43" s="97" t="e">
        <f t="shared" si="42"/>
        <v>#VALUE!</v>
      </c>
      <c r="V43" s="96" t="e">
        <f>IF(M43&lt;=servi1,((V42*K28*($E$12-$M43+1))/$M43),IF(servi1&lt;$M43,((V42*K28*($E$12-$M43+1))/servi1),0))</f>
        <v>#VALUE!</v>
      </c>
      <c r="W43" s="79">
        <f>IF($M43&lt;servi1,((K28)^$M43)*(FACT($E$12))/(FACT($M43)*FACT($E$12-$M43)),0)</f>
        <v>0</v>
      </c>
      <c r="X43" s="79">
        <f t="shared" si="53"/>
        <v>0</v>
      </c>
      <c r="Y43" s="79" t="e">
        <f>IF(AND($M43&gt;=servi1,$M43&lt;=$E$12),(((K28^($M43))*FACT($E$12))/((FACT(servi1))*(FACT($E$12-$M43))*(servi1^($M43-servi1)))),0)</f>
        <v>#VALUE!</v>
      </c>
      <c r="Z43" s="97" t="e">
        <f t="shared" si="43"/>
        <v>#VALUE!</v>
      </c>
      <c r="AA43" s="96" t="e">
        <f>IF(M43&lt;=servi2,((AA42*K28*($E$12-$M43+1))/$M43),IF(servi2&lt;$M43,((AA42*K28*($E$12-$M43+1))/servi2),0))</f>
        <v>#VALUE!</v>
      </c>
      <c r="AB43" s="79">
        <f>IF($M43&lt;servi2,((K28)^$M43)*(FACT($E$12))/(FACT($M43)*FACT($E$12-$M43)),0)</f>
        <v>0</v>
      </c>
      <c r="AC43" s="79">
        <f t="shared" si="54"/>
        <v>0</v>
      </c>
      <c r="AD43" s="79" t="e">
        <f>IF(AND($M43&gt;=servi2,$M43&lt;=$E$12),(((K28^($M43))*FACT($E$12))/((FACT(servi2))*(FACT($E$12-$M43))*(servi2^($M43-servi2)))),0)</f>
        <v>#VALUE!</v>
      </c>
      <c r="AE43" s="97" t="e">
        <f t="shared" si="44"/>
        <v>#VALUE!</v>
      </c>
      <c r="AF43" s="96" t="e">
        <f>IF(M43&lt;=servi3,((AF42*K28*($E$12-$M43+1))/$M43),IF(servi3&lt;$M43,((AF42*K28*($E$12-$M43+1))/servi3),0))</f>
        <v>#VALUE!</v>
      </c>
      <c r="AG43" s="79">
        <f>IF($M43&lt;servi3,((K28)^$M43)*(FACT($E$12))/(FACT($M43)*FACT($E$12-$M43)),0)</f>
        <v>0</v>
      </c>
      <c r="AH43" s="79">
        <f t="shared" si="55"/>
        <v>0</v>
      </c>
      <c r="AI43" s="79" t="e">
        <f>IF(AND($M43&gt;=servi3,$M43&lt;=$E$12),(((K28^($M43))*FACT($E$12))/((FACT(servi3))*(FACT($E$12-$M43))*(servi3^($M43-servi3)))),0)</f>
        <v>#VALUE!</v>
      </c>
      <c r="AJ43" s="97" t="e">
        <f t="shared" si="45"/>
        <v>#VALUE!</v>
      </c>
      <c r="AK43" s="96" t="e">
        <f>IF(M43&lt;=servi4,((AK42*K28*($E$12-$M43+1))/$M43),IF(servi4&lt;$M43,((AK42*K28*($E$12-$M43+1))/servi4),0))</f>
        <v>#VALUE!</v>
      </c>
      <c r="AL43" s="79">
        <f>IF($M43&lt;servi4,((K28)^$M43)*(FACT($E$12))/(FACT($M43)*FACT($E$12-$M43)),0)</f>
        <v>0</v>
      </c>
      <c r="AM43" s="79">
        <f t="shared" si="56"/>
        <v>0</v>
      </c>
      <c r="AN43" s="79" t="e">
        <f t="shared" si="46"/>
        <v>#VALUE!</v>
      </c>
      <c r="AO43" s="97" t="e">
        <f t="shared" si="47"/>
        <v>#VALUE!</v>
      </c>
      <c r="AP43" s="96" t="e">
        <f>IF(M43&lt;=servi5,((AP42*K28*($E$12-$M43+1))/$M43),IF(servi5&lt;$M43,((AP42*K28*($E$12-$M43+1))/servi5),0))</f>
        <v>#VALUE!</v>
      </c>
      <c r="AQ43" s="79">
        <f>IF($M43&lt;servi5,((K28)^$M43)*(FACT($E$12))/(FACT($M43)*FACT($E$12-$M43)),0)</f>
        <v>0</v>
      </c>
      <c r="AR43" s="79">
        <f t="shared" si="57"/>
        <v>0</v>
      </c>
      <c r="AS43" s="79" t="e">
        <f t="shared" si="48"/>
        <v>#VALUE!</v>
      </c>
      <c r="AT43" s="97" t="e">
        <f t="shared" si="49"/>
        <v>#VALUE!</v>
      </c>
      <c r="AU43" s="96" t="e">
        <f>IF(M43&lt;=servi6,((AU42*K28*($E$12-$M43+1))/$M43),IF(servi6&lt;$M43,((AU42*K28*($E$12-$M43+1))/servi6),0))</f>
        <v>#VALUE!</v>
      </c>
      <c r="AV43" s="79">
        <f>IF($M43&lt;servi6,((K28)^$M43)*(FACT($E$12))/(FACT($M43)*FACT($E$12-$M43)),0)</f>
        <v>0</v>
      </c>
      <c r="AW43" s="79">
        <f t="shared" si="58"/>
        <v>0</v>
      </c>
      <c r="AX43" s="79" t="e">
        <f t="shared" si="50"/>
        <v>#VALUE!</v>
      </c>
      <c r="AY43" s="97" t="e">
        <f t="shared" si="51"/>
        <v>#VALUE!</v>
      </c>
    </row>
    <row r="44" spans="1:51" s="49" customFormat="1" ht="10.5" customHeight="1" x14ac:dyDescent="0.2">
      <c r="D44" s="82"/>
      <c r="J44" s="50"/>
      <c r="K44" s="51"/>
      <c r="M44" s="75">
        <v>36</v>
      </c>
      <c r="N44" s="78" t="str">
        <f>IF(E12&lt;&gt;"M",Q44,"")</f>
        <v/>
      </c>
      <c r="O44" s="78" t="e">
        <f t="shared" si="35"/>
        <v>#VALUE!</v>
      </c>
      <c r="Q44" s="96" t="e">
        <f>IF(M44&lt;=$E$8,((Q43*K28*($E$12-$M44+1))/$M44),IF($E$8&lt;$M44,((Q43*K28*($E$12-$M44+1))/$E$8),0))</f>
        <v>#VALUE!</v>
      </c>
      <c r="R44" s="79">
        <f>IF($M44&lt;$E$8,((K28)^$M44)*(FACT($E$12))/(FACT($M44)*FACT($E$12-$M44)),0)</f>
        <v>0</v>
      </c>
      <c r="S44" s="79">
        <f t="shared" si="52"/>
        <v>0</v>
      </c>
      <c r="T44" s="79" t="e">
        <f t="shared" si="36"/>
        <v>#VALUE!</v>
      </c>
      <c r="U44" s="97" t="e">
        <f t="shared" si="42"/>
        <v>#VALUE!</v>
      </c>
      <c r="V44" s="96" t="e">
        <f>IF(M44&lt;=servi1,((V43*K28*($E$12-$M44+1))/$M44),IF(servi1&lt;$M44,((V43*K28*($E$12-$M44+1))/servi1),0))</f>
        <v>#VALUE!</v>
      </c>
      <c r="W44" s="79">
        <f>IF($M44&lt;servi1,((K28)^$M44)*(FACT($E$12))/(FACT($M44)*FACT($E$12-$M44)),0)</f>
        <v>0</v>
      </c>
      <c r="X44" s="79">
        <f t="shared" si="53"/>
        <v>0</v>
      </c>
      <c r="Y44" s="79" t="e">
        <f>IF(AND($M44&gt;=servi1,$M44&lt;=$E$12),(((K28^($M44))*FACT($E$12))/((FACT(servi1))*(FACT($E$12-$M44))*(servi1^($M44-servi1)))),0)</f>
        <v>#VALUE!</v>
      </c>
      <c r="Z44" s="97" t="e">
        <f t="shared" si="43"/>
        <v>#VALUE!</v>
      </c>
      <c r="AA44" s="96" t="e">
        <f>IF(M44&lt;=servi2,((AA43*K28*($E$12-$M44+1))/$M44),IF(servi2&lt;$M44,((AA43*K28*($E$12-$M44+1))/servi2),0))</f>
        <v>#VALUE!</v>
      </c>
      <c r="AB44" s="79">
        <f>IF($M44&lt;servi2,((K28)^$M44)*(FACT($E$12))/(FACT($M44)*FACT($E$12-$M44)),0)</f>
        <v>0</v>
      </c>
      <c r="AC44" s="79">
        <f t="shared" si="54"/>
        <v>0</v>
      </c>
      <c r="AD44" s="79" t="e">
        <f>IF(AND($M44&gt;=servi2,$M44&lt;=$E$12),(((K28^($M44))*FACT($E$12))/((FACT(servi2))*(FACT($E$12-$M44))*(servi2^($M44-servi2)))),0)</f>
        <v>#VALUE!</v>
      </c>
      <c r="AE44" s="97" t="e">
        <f t="shared" si="44"/>
        <v>#VALUE!</v>
      </c>
      <c r="AF44" s="96" t="e">
        <f>IF(M44&lt;=servi3,((AF43*K28*($E$12-$M44+1))/$M44),IF(servi3&lt;$M44,((AF43*K28*($E$12-$M44+1))/servi3),0))</f>
        <v>#VALUE!</v>
      </c>
      <c r="AG44" s="79">
        <f>IF($M44&lt;servi3,((K28)^$M44)*(FACT($E$12))/(FACT($M44)*FACT($E$12-$M44)),0)</f>
        <v>0</v>
      </c>
      <c r="AH44" s="79">
        <f t="shared" si="55"/>
        <v>0</v>
      </c>
      <c r="AI44" s="79" t="e">
        <f>IF(AND($M44&gt;=servi3,$M44&lt;=$E$12),(((K28^($M44))*FACT($E$12))/((FACT(servi3))*(FACT($E$12-$M44))*(servi3^($M44-servi3)))),0)</f>
        <v>#VALUE!</v>
      </c>
      <c r="AJ44" s="97" t="e">
        <f t="shared" si="45"/>
        <v>#VALUE!</v>
      </c>
      <c r="AK44" s="96" t="e">
        <f>IF(M44&lt;=servi4,((AK43*K28*($E$12-$M44+1))/$M44),IF(servi4&lt;$M44,((AK43*K28*($E$12-$M44+1))/servi4),0))</f>
        <v>#VALUE!</v>
      </c>
      <c r="AL44" s="79">
        <f>IF($M44&lt;servi4,((K28)^$M44)*(FACT($E$12))/(FACT($M44)*FACT($E$12-$M44)),0)</f>
        <v>0</v>
      </c>
      <c r="AM44" s="79">
        <f t="shared" si="56"/>
        <v>0</v>
      </c>
      <c r="AN44" s="79" t="e">
        <f t="shared" si="46"/>
        <v>#VALUE!</v>
      </c>
      <c r="AO44" s="97" t="e">
        <f t="shared" si="47"/>
        <v>#VALUE!</v>
      </c>
      <c r="AP44" s="96" t="e">
        <f>IF(M44&lt;=servi5,((AP43*K28*($E$12-$M44+1))/$M44),IF(servi5&lt;$M44,((AP43*K28*($E$12-$M44+1))/servi5),0))</f>
        <v>#VALUE!</v>
      </c>
      <c r="AQ44" s="79">
        <f>IF($M44&lt;servi5,((K28)^$M44)*(FACT($E$12))/(FACT($M44)*FACT($E$12-$M44)),0)</f>
        <v>0</v>
      </c>
      <c r="AR44" s="79">
        <f t="shared" si="57"/>
        <v>0</v>
      </c>
      <c r="AS44" s="79" t="e">
        <f t="shared" si="48"/>
        <v>#VALUE!</v>
      </c>
      <c r="AT44" s="97" t="e">
        <f t="shared" si="49"/>
        <v>#VALUE!</v>
      </c>
      <c r="AU44" s="96" t="e">
        <f>IF(M44&lt;=servi6,((AU43*K28*($E$12-$M44+1))/$M44),IF(servi6&lt;$M44,((AU43*K28*($E$12-$M44+1))/servi6),0))</f>
        <v>#VALUE!</v>
      </c>
      <c r="AV44" s="79">
        <f>IF($M44&lt;servi6,((K28)^$M44)*(FACT($E$12))/(FACT($M44)*FACT($E$12-$M44)),0)</f>
        <v>0</v>
      </c>
      <c r="AW44" s="79">
        <f t="shared" si="58"/>
        <v>0</v>
      </c>
      <c r="AX44" s="79" t="e">
        <f t="shared" si="50"/>
        <v>#VALUE!</v>
      </c>
      <c r="AY44" s="97" t="e">
        <f t="shared" si="51"/>
        <v>#VALUE!</v>
      </c>
    </row>
    <row r="45" spans="1:51" s="49" customFormat="1" ht="10.5" customHeight="1" x14ac:dyDescent="0.2">
      <c r="D45" s="82"/>
      <c r="J45" s="50"/>
      <c r="K45" s="51"/>
      <c r="M45" s="75">
        <v>37</v>
      </c>
      <c r="N45" s="78" t="str">
        <f>IF(E12&lt;&gt;"M",Q45,"")</f>
        <v/>
      </c>
      <c r="O45" s="78" t="e">
        <f t="shared" si="35"/>
        <v>#VALUE!</v>
      </c>
      <c r="Q45" s="96" t="e">
        <f>IF(M45&lt;=$E$8,((Q44*K28*($E$12-$M45+1))/$M45),IF($E$8&lt;$M45,((Q44*K28*($E$12-$M45+1))/$E$8),0))</f>
        <v>#VALUE!</v>
      </c>
      <c r="R45" s="79">
        <f>IF($M45&lt;$E$8,((K28)^$M45)*(FACT($E$12))/(FACT($M45)*FACT($E$12-$M45)),0)</f>
        <v>0</v>
      </c>
      <c r="S45" s="79">
        <f t="shared" si="52"/>
        <v>0</v>
      </c>
      <c r="T45" s="79" t="e">
        <f t="shared" si="36"/>
        <v>#VALUE!</v>
      </c>
      <c r="U45" s="97" t="e">
        <f t="shared" si="42"/>
        <v>#VALUE!</v>
      </c>
      <c r="V45" s="96" t="e">
        <f>IF(M45&lt;=servi1,((V44*K28*($E$12-$M45+1))/$M45),IF(servi1&lt;$M45,((V44*K28*($E$12-$M45+1))/servi1),0))</f>
        <v>#VALUE!</v>
      </c>
      <c r="W45" s="79">
        <f>IF($M45&lt;servi1,((K28)^$M45)*(FACT($E$12))/(FACT($M45)*FACT($E$12-$M45)),0)</f>
        <v>0</v>
      </c>
      <c r="X45" s="79">
        <f t="shared" si="53"/>
        <v>0</v>
      </c>
      <c r="Y45" s="79" t="e">
        <f>IF(AND($M45&gt;=servi1,$M45&lt;=$E$12),(((K28^($M45))*FACT($E$12))/((FACT(servi1))*(FACT($E$12-$M45))*(servi1^($M45-servi1)))),0)</f>
        <v>#VALUE!</v>
      </c>
      <c r="Z45" s="97" t="e">
        <f t="shared" si="43"/>
        <v>#VALUE!</v>
      </c>
      <c r="AA45" s="96" t="e">
        <f>IF(M45&lt;=servi2,((AA44*K28*($E$12-$M45+1))/$M45),IF(servi2&lt;$M45,((AA44*K28*($E$12-$M45+1))/servi2),0))</f>
        <v>#VALUE!</v>
      </c>
      <c r="AB45" s="79">
        <f>IF($M45&lt;servi2,((K28)^$M45)*(FACT($E$12))/(FACT($M45)*FACT($E$12-$M45)),0)</f>
        <v>0</v>
      </c>
      <c r="AC45" s="79">
        <f t="shared" si="54"/>
        <v>0</v>
      </c>
      <c r="AD45" s="79" t="e">
        <f>IF(AND($M45&gt;=servi2,$M45&lt;=$E$12),(((K28^($M45))*FACT($E$12))/((FACT(servi2))*(FACT($E$12-$M45))*(servi2^($M45-servi2)))),0)</f>
        <v>#VALUE!</v>
      </c>
      <c r="AE45" s="97" t="e">
        <f t="shared" si="44"/>
        <v>#VALUE!</v>
      </c>
      <c r="AF45" s="96" t="e">
        <f>IF(M45&lt;=servi3,((AF44*K28*($E$12-$M45+1))/$M45),IF(servi3&lt;$M45,((AF44*K28*($E$12-$M45+1))/servi3),0))</f>
        <v>#VALUE!</v>
      </c>
      <c r="AG45" s="79">
        <f>IF($M45&lt;servi3,((K28)^$M45)*(FACT($E$12))/(FACT($M45)*FACT($E$12-$M45)),0)</f>
        <v>0</v>
      </c>
      <c r="AH45" s="79">
        <f t="shared" si="55"/>
        <v>0</v>
      </c>
      <c r="AI45" s="79" t="e">
        <f>IF(AND($M45&gt;=servi3,$M45&lt;=$E$12),(((K28^($M45))*FACT($E$12))/((FACT(servi3))*(FACT($E$12-$M45))*(servi3^($M45-servi3)))),0)</f>
        <v>#VALUE!</v>
      </c>
      <c r="AJ45" s="97" t="e">
        <f t="shared" si="45"/>
        <v>#VALUE!</v>
      </c>
      <c r="AK45" s="96" t="e">
        <f>IF(M45&lt;=servi4,((AK44*K28*($E$12-$M45+1))/$M45),IF(servi4&lt;$M45,((AK44*K28*($E$12-$M45+1))/servi4),0))</f>
        <v>#VALUE!</v>
      </c>
      <c r="AL45" s="79">
        <f>IF($M45&lt;servi4,((K28)^$M45)*(FACT($E$12))/(FACT($M45)*FACT($E$12-$M45)),0)</f>
        <v>0</v>
      </c>
      <c r="AM45" s="79">
        <f t="shared" si="56"/>
        <v>0</v>
      </c>
      <c r="AN45" s="79" t="e">
        <f t="shared" si="46"/>
        <v>#VALUE!</v>
      </c>
      <c r="AO45" s="97" t="e">
        <f t="shared" si="47"/>
        <v>#VALUE!</v>
      </c>
      <c r="AP45" s="96" t="e">
        <f>IF(M45&lt;=servi5,((AP44*K28*($E$12-$M45+1))/$M45),IF(servi5&lt;$M45,((AP44*K28*($E$12-$M45+1))/servi5),0))</f>
        <v>#VALUE!</v>
      </c>
      <c r="AQ45" s="79">
        <f>IF($M45&lt;servi5,((K28)^$M45)*(FACT($E$12))/(FACT($M45)*FACT($E$12-$M45)),0)</f>
        <v>0</v>
      </c>
      <c r="AR45" s="79">
        <f t="shared" si="57"/>
        <v>0</v>
      </c>
      <c r="AS45" s="79" t="e">
        <f t="shared" si="48"/>
        <v>#VALUE!</v>
      </c>
      <c r="AT45" s="97" t="e">
        <f t="shared" si="49"/>
        <v>#VALUE!</v>
      </c>
      <c r="AU45" s="96" t="e">
        <f>IF(M45&lt;=servi6,((AU44*K28*($E$12-$M45+1))/$M45),IF(servi6&lt;$M45,((AU44*K28*($E$12-$M45+1))/servi6),0))</f>
        <v>#VALUE!</v>
      </c>
      <c r="AV45" s="79">
        <f>IF($M45&lt;servi6,((K28)^$M45)*(FACT($E$12))/(FACT($M45)*FACT($E$12-$M45)),0)</f>
        <v>0</v>
      </c>
      <c r="AW45" s="79">
        <f t="shared" si="58"/>
        <v>0</v>
      </c>
      <c r="AX45" s="79" t="e">
        <f t="shared" si="50"/>
        <v>#VALUE!</v>
      </c>
      <c r="AY45" s="97" t="e">
        <f t="shared" si="51"/>
        <v>#VALUE!</v>
      </c>
    </row>
    <row r="46" spans="1:51" s="49" customFormat="1" ht="10.5" customHeight="1" x14ac:dyDescent="0.2">
      <c r="D46" s="82"/>
      <c r="J46" s="50"/>
      <c r="K46" s="51"/>
      <c r="M46" s="75">
        <v>38</v>
      </c>
      <c r="N46" s="78" t="str">
        <f>IF(E12&lt;&gt;"M",Q46,"")</f>
        <v/>
      </c>
      <c r="O46" s="78" t="e">
        <f t="shared" si="35"/>
        <v>#VALUE!</v>
      </c>
      <c r="Q46" s="96" t="e">
        <f>IF(M46&lt;=$E$8,((Q45*K28*($E$12-$M46+1))/$M46),IF($E$8&lt;$M46,((Q45*K28*($E$12-$M46+1))/$E$8),0))</f>
        <v>#VALUE!</v>
      </c>
      <c r="R46" s="79">
        <f>IF($M46&lt;$E$8,((K28)^$M46)*(FACT($E$12))/(FACT($M46)*FACT($E$12-$M46)),0)</f>
        <v>0</v>
      </c>
      <c r="S46" s="79">
        <f t="shared" si="52"/>
        <v>0</v>
      </c>
      <c r="T46" s="79" t="e">
        <f t="shared" si="36"/>
        <v>#VALUE!</v>
      </c>
      <c r="U46" s="97" t="e">
        <f t="shared" si="42"/>
        <v>#VALUE!</v>
      </c>
      <c r="V46" s="96" t="e">
        <f>IF(M46&lt;=servi1,((V45*K28*($E$12-$M46+1))/$M46),IF(servi1&lt;$M46,((V45*K28*($E$12-$M46+1))/servi1),0))</f>
        <v>#VALUE!</v>
      </c>
      <c r="W46" s="79">
        <f>IF($M46&lt;servi1,((K28)^$M46)*(FACT($E$12))/(FACT($M46)*FACT($E$12-$M46)),0)</f>
        <v>0</v>
      </c>
      <c r="X46" s="79">
        <f t="shared" si="53"/>
        <v>0</v>
      </c>
      <c r="Y46" s="79" t="e">
        <f>IF(AND($M46&gt;=servi1,$M46&lt;=$E$12),(((K28^($M46))*FACT($E$12))/((FACT(servi1))*(FACT($E$12-$M46))*(servi1^($M46-servi1)))),0)</f>
        <v>#VALUE!</v>
      </c>
      <c r="Z46" s="97" t="e">
        <f t="shared" si="43"/>
        <v>#VALUE!</v>
      </c>
      <c r="AA46" s="96" t="e">
        <f>IF(M46&lt;=servi2,((AA45*K28*($E$12-$M46+1))/$M46),IF(servi2&lt;$M46,((AA45*K28*($E$12-$M46+1))/servi2),0))</f>
        <v>#VALUE!</v>
      </c>
      <c r="AB46" s="79">
        <f>IF($M46&lt;servi2,((K28)^$M46)*(FACT($E$12))/(FACT($M46)*FACT($E$12-$M46)),0)</f>
        <v>0</v>
      </c>
      <c r="AC46" s="79">
        <f t="shared" si="54"/>
        <v>0</v>
      </c>
      <c r="AD46" s="79" t="e">
        <f>IF(AND($M46&gt;=servi2,$M46&lt;=$E$12),(((K28^($M46))*FACT($E$12))/((FACT(servi2))*(FACT($E$12-$M46))*(servi2^($M46-servi2)))),0)</f>
        <v>#VALUE!</v>
      </c>
      <c r="AE46" s="97" t="e">
        <f t="shared" si="44"/>
        <v>#VALUE!</v>
      </c>
      <c r="AF46" s="96" t="e">
        <f>IF(M46&lt;=servi3,((AF45*K28*($E$12-$M46+1))/$M46),IF(servi3&lt;$M46,((AF45*K28*($E$12-$M46+1))/servi3),0))</f>
        <v>#VALUE!</v>
      </c>
      <c r="AG46" s="79">
        <f>IF($M46&lt;servi3,((K28)^$M46)*(FACT($E$12))/(FACT($M46)*FACT($E$12-$M46)),0)</f>
        <v>0</v>
      </c>
      <c r="AH46" s="79">
        <f t="shared" si="55"/>
        <v>0</v>
      </c>
      <c r="AI46" s="79" t="e">
        <f>IF(AND($M46&gt;=servi3,$M46&lt;=$E$12),(((K28^($M46))*FACT($E$12))/((FACT(servi3))*(FACT($E$12-$M46))*(servi3^($M46-servi3)))),0)</f>
        <v>#VALUE!</v>
      </c>
      <c r="AJ46" s="97" t="e">
        <f t="shared" si="45"/>
        <v>#VALUE!</v>
      </c>
      <c r="AK46" s="96" t="e">
        <f>IF(M46&lt;=servi4,((AK45*K28*($E$12-$M46+1))/$M46),IF(servi4&lt;$M46,((AK45*K28*($E$12-$M46+1))/servi4),0))</f>
        <v>#VALUE!</v>
      </c>
      <c r="AL46" s="79">
        <f>IF($M46&lt;servi4,((K28)^$M46)*(FACT($E$12))/(FACT($M46)*FACT($E$12-$M46)),0)</f>
        <v>0</v>
      </c>
      <c r="AM46" s="79">
        <f t="shared" si="56"/>
        <v>0</v>
      </c>
      <c r="AN46" s="79" t="e">
        <f t="shared" si="46"/>
        <v>#VALUE!</v>
      </c>
      <c r="AO46" s="97" t="e">
        <f t="shared" si="47"/>
        <v>#VALUE!</v>
      </c>
      <c r="AP46" s="96" t="e">
        <f>IF(M46&lt;=servi5,((AP45*K28*($E$12-$M46+1))/$M46),IF(servi5&lt;$M46,((AP45*K28*($E$12-$M46+1))/servi5),0))</f>
        <v>#VALUE!</v>
      </c>
      <c r="AQ46" s="79">
        <f>IF($M46&lt;servi5,((K28)^$M46)*(FACT($E$12))/(FACT($M46)*FACT($E$12-$M46)),0)</f>
        <v>0</v>
      </c>
      <c r="AR46" s="79">
        <f t="shared" si="57"/>
        <v>0</v>
      </c>
      <c r="AS46" s="79" t="e">
        <f t="shared" si="48"/>
        <v>#VALUE!</v>
      </c>
      <c r="AT46" s="97" t="e">
        <f t="shared" si="49"/>
        <v>#VALUE!</v>
      </c>
      <c r="AU46" s="96" t="e">
        <f>IF(M46&lt;=servi6,((AU45*K28*($E$12-$M46+1))/$M46),IF(servi6&lt;$M46,((AU45*K28*($E$12-$M46+1))/servi6),0))</f>
        <v>#VALUE!</v>
      </c>
      <c r="AV46" s="79">
        <f>IF($M46&lt;servi6,((K28)^$M46)*(FACT($E$12))/(FACT($M46)*FACT($E$12-$M46)),0)</f>
        <v>0</v>
      </c>
      <c r="AW46" s="79">
        <f t="shared" si="58"/>
        <v>0</v>
      </c>
      <c r="AX46" s="79" t="e">
        <f t="shared" si="50"/>
        <v>#VALUE!</v>
      </c>
      <c r="AY46" s="97" t="e">
        <f t="shared" si="51"/>
        <v>#VALUE!</v>
      </c>
    </row>
    <row r="47" spans="1:51" s="49" customFormat="1" ht="10.5" customHeight="1" x14ac:dyDescent="0.2">
      <c r="D47" s="82"/>
      <c r="J47" s="50"/>
      <c r="K47" s="51"/>
      <c r="M47" s="75">
        <v>39</v>
      </c>
      <c r="N47" s="78" t="str">
        <f>IF(E12&lt;&gt;"M",Q47,"")</f>
        <v/>
      </c>
      <c r="O47" s="78" t="e">
        <f t="shared" si="35"/>
        <v>#VALUE!</v>
      </c>
      <c r="Q47" s="96" t="e">
        <f>IF(M47&lt;=$E$8,((Q46*K28*($E$12-$M47+1))/$M47),IF($E$8&lt;$M47,((Q46*K28*($E$12-$M47+1))/$E$8),0))</f>
        <v>#VALUE!</v>
      </c>
      <c r="R47" s="79">
        <f>IF($M47&lt;$E$8,((K28)^$M47)*(FACT($E$12))/(FACT($M47)*FACT($E$12-$M47)),0)</f>
        <v>0</v>
      </c>
      <c r="S47" s="79">
        <f t="shared" si="52"/>
        <v>0</v>
      </c>
      <c r="T47" s="79" t="e">
        <f t="shared" si="36"/>
        <v>#VALUE!</v>
      </c>
      <c r="U47" s="97" t="e">
        <f t="shared" si="42"/>
        <v>#VALUE!</v>
      </c>
      <c r="V47" s="96" t="e">
        <f>IF(M47&lt;=servi1,((V46*K28*($E$12-$M47+1))/$M47),IF(servi1&lt;$M47,((V46*K28*($E$12-$M47+1))/servi1),0))</f>
        <v>#VALUE!</v>
      </c>
      <c r="W47" s="79">
        <f>IF($M47&lt;servi1,((K28)^$M47)*(FACT($E$12))/(FACT($M47)*FACT($E$12-$M47)),0)</f>
        <v>0</v>
      </c>
      <c r="X47" s="79">
        <f t="shared" si="53"/>
        <v>0</v>
      </c>
      <c r="Y47" s="79" t="e">
        <f>IF(AND($M47&gt;=servi1,$M47&lt;=$E$12),(((K28^($M47))*FACT($E$12))/((FACT(servi1))*(FACT($E$12-$M47))*(servi1^($M47-servi1)))),0)</f>
        <v>#VALUE!</v>
      </c>
      <c r="Z47" s="97" t="e">
        <f t="shared" si="43"/>
        <v>#VALUE!</v>
      </c>
      <c r="AA47" s="96" t="e">
        <f>IF(M47&lt;=servi2,((AA46*K28*($E$12-$M47+1))/$M47),IF(servi2&lt;$M47,((AA46*K28*($E$12-$M47+1))/servi2),0))</f>
        <v>#VALUE!</v>
      </c>
      <c r="AB47" s="79">
        <f>IF($M47&lt;servi2,((K28)^$M47)*(FACT($E$12))/(FACT($M47)*FACT($E$12-$M47)),0)</f>
        <v>0</v>
      </c>
      <c r="AC47" s="79">
        <f t="shared" si="54"/>
        <v>0</v>
      </c>
      <c r="AD47" s="79" t="e">
        <f>IF(AND($M47&gt;=servi2,$M47&lt;=$E$12),(((K28^($M47))*FACT($E$12))/((FACT(servi2))*(FACT($E$12-$M47))*(servi2^($M47-servi2)))),0)</f>
        <v>#VALUE!</v>
      </c>
      <c r="AE47" s="97" t="e">
        <f t="shared" si="44"/>
        <v>#VALUE!</v>
      </c>
      <c r="AF47" s="96" t="e">
        <f>IF(M47&lt;=servi3,((AF46*K28*($E$12-$M47+1))/$M47),IF(servi3&lt;$M47,((AF46*K28*($E$12-$M47+1))/servi3),0))</f>
        <v>#VALUE!</v>
      </c>
      <c r="AG47" s="79">
        <f>IF($M47&lt;servi3,((K28)^$M47)*(FACT($E$12))/(FACT($M47)*FACT($E$12-$M47)),0)</f>
        <v>0</v>
      </c>
      <c r="AH47" s="79">
        <f t="shared" si="55"/>
        <v>0</v>
      </c>
      <c r="AI47" s="79" t="e">
        <f>IF(AND($M47&gt;=servi3,$M47&lt;=$E$12),(((K28^($M47))*FACT($E$12))/((FACT(servi3))*(FACT($E$12-$M47))*(servi3^($M47-servi3)))),0)</f>
        <v>#VALUE!</v>
      </c>
      <c r="AJ47" s="97" t="e">
        <f t="shared" si="45"/>
        <v>#VALUE!</v>
      </c>
      <c r="AK47" s="96" t="e">
        <f>IF(M47&lt;=servi4,((AK46*K28*($E$12-$M47+1))/$M47),IF(servi4&lt;$M47,((AK46*K28*($E$12-$M47+1))/servi4),0))</f>
        <v>#VALUE!</v>
      </c>
      <c r="AL47" s="79">
        <f>IF($M47&lt;servi4,((K28)^$M47)*(FACT($E$12))/(FACT($M47)*FACT($E$12-$M47)),0)</f>
        <v>0</v>
      </c>
      <c r="AM47" s="79">
        <f t="shared" si="56"/>
        <v>0</v>
      </c>
      <c r="AN47" s="79" t="e">
        <f t="shared" si="46"/>
        <v>#VALUE!</v>
      </c>
      <c r="AO47" s="97" t="e">
        <f t="shared" si="47"/>
        <v>#VALUE!</v>
      </c>
      <c r="AP47" s="96" t="e">
        <f>IF(M47&lt;=servi5,((AP46*K28*($E$12-$M47+1))/$M47),IF(servi5&lt;$M47,((AP46*K28*($E$12-$M47+1))/servi5),0))</f>
        <v>#VALUE!</v>
      </c>
      <c r="AQ47" s="79">
        <f>IF($M47&lt;servi5,((K28)^$M47)*(FACT($E$12))/(FACT($M47)*FACT($E$12-$M47)),0)</f>
        <v>0</v>
      </c>
      <c r="AR47" s="79">
        <f t="shared" si="57"/>
        <v>0</v>
      </c>
      <c r="AS47" s="79" t="e">
        <f t="shared" si="48"/>
        <v>#VALUE!</v>
      </c>
      <c r="AT47" s="97" t="e">
        <f t="shared" si="49"/>
        <v>#VALUE!</v>
      </c>
      <c r="AU47" s="96" t="e">
        <f>IF(M47&lt;=servi6,((AU46*K28*($E$12-$M47+1))/$M47),IF(servi6&lt;$M47,((AU46*K28*($E$12-$M47+1))/servi6),0))</f>
        <v>#VALUE!</v>
      </c>
      <c r="AV47" s="79">
        <f>IF($M47&lt;servi6,((K28)^$M47)*(FACT($E$12))/(FACT($M47)*FACT($E$12-$M47)),0)</f>
        <v>0</v>
      </c>
      <c r="AW47" s="79">
        <f t="shared" si="58"/>
        <v>0</v>
      </c>
      <c r="AX47" s="79" t="e">
        <f t="shared" si="50"/>
        <v>#VALUE!</v>
      </c>
      <c r="AY47" s="97" t="e">
        <f t="shared" si="51"/>
        <v>#VALUE!</v>
      </c>
    </row>
    <row r="48" spans="1:51" s="49" customFormat="1" ht="10.5" customHeight="1" x14ac:dyDescent="0.2">
      <c r="D48" s="82"/>
      <c r="J48" s="50"/>
      <c r="K48" s="51"/>
      <c r="M48" s="75">
        <v>40</v>
      </c>
      <c r="N48" s="78" t="str">
        <f>IF(E12&lt;&gt;"M",Q48,"")</f>
        <v/>
      </c>
      <c r="O48" s="78" t="e">
        <f t="shared" si="35"/>
        <v>#VALUE!</v>
      </c>
      <c r="Q48" s="96" t="e">
        <f>IF(M48&lt;=$E$8,((Q47*K28*($E$12-$M48+1))/$M48),IF($E$8&lt;$M48,((Q47*K28*($E$12-$M48+1))/$E$8),0))</f>
        <v>#VALUE!</v>
      </c>
      <c r="R48" s="79">
        <f>IF($M48&lt;$E$8,((K28)^$M48)*(FACT($E$12))/(FACT($M48)*FACT($E$12-$M48)),0)</f>
        <v>0</v>
      </c>
      <c r="S48" s="79">
        <f t="shared" si="52"/>
        <v>0</v>
      </c>
      <c r="T48" s="79" t="e">
        <f t="shared" si="36"/>
        <v>#VALUE!</v>
      </c>
      <c r="U48" s="97" t="e">
        <f t="shared" si="42"/>
        <v>#VALUE!</v>
      </c>
      <c r="V48" s="96" t="e">
        <f>IF(M48&lt;=servi1,((V47*K28*($E$12-$M48+1))/$M48),IF(servi1&lt;$M48,((V47*K28*($E$12-$M48+1))/servi1),0))</f>
        <v>#VALUE!</v>
      </c>
      <c r="W48" s="79">
        <f>IF($M48&lt;servi1,((K28)^$M48)*(FACT($E$12))/(FACT($M48)*FACT($E$12-$M48)),0)</f>
        <v>0</v>
      </c>
      <c r="X48" s="79">
        <f t="shared" si="53"/>
        <v>0</v>
      </c>
      <c r="Y48" s="79" t="e">
        <f>IF(AND($M48&gt;=servi1,$M48&lt;=$E$12),(((K28^($M48))*FACT($E$12))/((FACT(servi1))*(FACT($E$12-$M48))*(servi1^($M48-servi1)))),0)</f>
        <v>#VALUE!</v>
      </c>
      <c r="Z48" s="97" t="e">
        <f t="shared" si="43"/>
        <v>#VALUE!</v>
      </c>
      <c r="AA48" s="96" t="e">
        <f>IF(M48&lt;=servi2,((AA47*K28*($E$12-$M48+1))/$M48),IF(servi2&lt;$M48,((AA47*K28*($E$12-$M48+1))/servi2),0))</f>
        <v>#VALUE!</v>
      </c>
      <c r="AB48" s="79">
        <f>IF($M48&lt;servi2,((K28)^$M48)*(FACT($E$12))/(FACT($M48)*FACT($E$12-$M48)),0)</f>
        <v>0</v>
      </c>
      <c r="AC48" s="79">
        <f t="shared" si="54"/>
        <v>0</v>
      </c>
      <c r="AD48" s="79" t="e">
        <f>IF(AND($M48&gt;=servi2,$M48&lt;=$E$12),(((K28^($M48))*FACT($E$12))/((FACT(servi2))*(FACT($E$12-$M48))*(servi2^($M48-servi2)))),0)</f>
        <v>#VALUE!</v>
      </c>
      <c r="AE48" s="97" t="e">
        <f t="shared" si="44"/>
        <v>#VALUE!</v>
      </c>
      <c r="AF48" s="96" t="e">
        <f>IF(M48&lt;=servi3,((AF47*K28*($E$12-$M48+1))/$M48),IF(servi3&lt;$M48,((AF47*K28*($E$12-$M48+1))/servi3),0))</f>
        <v>#VALUE!</v>
      </c>
      <c r="AG48" s="79">
        <f>IF($M48&lt;servi3,((K28)^$M48)*(FACT($E$12))/(FACT($M48)*FACT($E$12-$M48)),0)</f>
        <v>0</v>
      </c>
      <c r="AH48" s="79">
        <f t="shared" si="55"/>
        <v>0</v>
      </c>
      <c r="AI48" s="79" t="e">
        <f>IF(AND($M48&gt;=servi3,$M48&lt;=$E$12),(((K28^($M48))*FACT($E$12))/((FACT(servi3))*(FACT($E$12-$M48))*(servi3^($M48-servi3)))),0)</f>
        <v>#VALUE!</v>
      </c>
      <c r="AJ48" s="97" t="e">
        <f t="shared" si="45"/>
        <v>#VALUE!</v>
      </c>
      <c r="AK48" s="96" t="e">
        <f>IF(M48&lt;=servi4,((AK47*K28*($E$12-$M48+1))/$M48),IF(servi4&lt;$M48,((AK47*K28*($E$12-$M48+1))/servi4),0))</f>
        <v>#VALUE!</v>
      </c>
      <c r="AL48" s="79">
        <f>IF($M48&lt;servi4,((K28)^$M48)*(FACT($E$12))/(FACT($M48)*FACT($E$12-$M48)),0)</f>
        <v>0</v>
      </c>
      <c r="AM48" s="79">
        <f t="shared" si="56"/>
        <v>0</v>
      </c>
      <c r="AN48" s="79" t="e">
        <f t="shared" si="46"/>
        <v>#VALUE!</v>
      </c>
      <c r="AO48" s="97" t="e">
        <f t="shared" si="47"/>
        <v>#VALUE!</v>
      </c>
      <c r="AP48" s="96" t="e">
        <f>IF(M48&lt;=servi5,((AP47*K28*($E$12-$M48+1))/$M48),IF(servi5&lt;$M48,((AP47*K28*($E$12-$M48+1))/servi5),0))</f>
        <v>#VALUE!</v>
      </c>
      <c r="AQ48" s="79">
        <f>IF($M48&lt;servi5,((K28)^$M48)*(FACT($E$12))/(FACT($M48)*FACT($E$12-$M48)),0)</f>
        <v>0</v>
      </c>
      <c r="AR48" s="79">
        <f t="shared" si="57"/>
        <v>0</v>
      </c>
      <c r="AS48" s="79" t="e">
        <f t="shared" si="48"/>
        <v>#VALUE!</v>
      </c>
      <c r="AT48" s="97" t="e">
        <f t="shared" si="49"/>
        <v>#VALUE!</v>
      </c>
      <c r="AU48" s="96" t="e">
        <f>IF(M48&lt;=servi6,((AU47*K28*($E$12-$M48+1))/$M48),IF(servi6&lt;$M48,((AU47*K28*($E$12-$M48+1))/servi6),0))</f>
        <v>#VALUE!</v>
      </c>
      <c r="AV48" s="79">
        <f>IF($M48&lt;servi6,((K28)^$M48)*(FACT($E$12))/(FACT($M48)*FACT($E$12-$M48)),0)</f>
        <v>0</v>
      </c>
      <c r="AW48" s="79">
        <f t="shared" si="58"/>
        <v>0</v>
      </c>
      <c r="AX48" s="79" t="e">
        <f t="shared" si="50"/>
        <v>#VALUE!</v>
      </c>
      <c r="AY48" s="97" t="e">
        <f t="shared" si="51"/>
        <v>#VALUE!</v>
      </c>
    </row>
    <row r="49" spans="4:51" s="49" customFormat="1" ht="10.5" customHeight="1" x14ac:dyDescent="0.2">
      <c r="D49" s="82"/>
      <c r="J49" s="50"/>
      <c r="K49" s="51"/>
      <c r="M49" s="75">
        <v>41</v>
      </c>
      <c r="N49" s="78" t="str">
        <f>IF(E12&lt;&gt;"M",Q49,"")</f>
        <v/>
      </c>
      <c r="O49" s="78" t="e">
        <f t="shared" si="35"/>
        <v>#VALUE!</v>
      </c>
      <c r="Q49" s="96" t="e">
        <f>IF(M49&lt;=$E$8,((Q48*K28*($E$12-$M49+1))/$M49),IF($E$8&lt;$M49,((Q48*K28*($E$12-$M49+1))/$E$8),0))</f>
        <v>#VALUE!</v>
      </c>
      <c r="R49" s="79">
        <f>IF($M49&lt;$E$8,((K28)^$M49)*(FACT($E$12))/(FACT($M49)*FACT($E$12-$M49)),0)</f>
        <v>0</v>
      </c>
      <c r="S49" s="79">
        <f t="shared" si="52"/>
        <v>0</v>
      </c>
      <c r="T49" s="79" t="e">
        <f t="shared" si="36"/>
        <v>#VALUE!</v>
      </c>
      <c r="U49" s="97" t="e">
        <f t="shared" si="42"/>
        <v>#VALUE!</v>
      </c>
      <c r="V49" s="96" t="e">
        <f>IF(M49&lt;=servi1,((V48*K28*($E$12-$M49+1))/$M49),IF(servi1&lt;$M49,((V48*K28*($E$12-$M49+1))/servi1),0))</f>
        <v>#VALUE!</v>
      </c>
      <c r="W49" s="79">
        <f>IF($M49&lt;servi1,((K28)^$M49)*(FACT($E$12))/(FACT($M49)*FACT($E$12-$M49)),0)</f>
        <v>0</v>
      </c>
      <c r="X49" s="79">
        <f t="shared" si="53"/>
        <v>0</v>
      </c>
      <c r="Y49" s="79" t="e">
        <f>IF(AND($M49&gt;=servi1,$M49&lt;=$E$12),(((K28^($M49))*FACT($E$12))/((FACT(servi1))*(FACT($E$12-$M49))*(servi1^($M49-servi1)))),0)</f>
        <v>#VALUE!</v>
      </c>
      <c r="Z49" s="97" t="e">
        <f t="shared" si="43"/>
        <v>#VALUE!</v>
      </c>
      <c r="AA49" s="96" t="e">
        <f>IF(M49&lt;=servi2,((AA48*K28*($E$12-$M49+1))/$M49),IF(servi2&lt;$M49,((AA48*K28*($E$12-$M49+1))/servi2),0))</f>
        <v>#VALUE!</v>
      </c>
      <c r="AB49" s="79">
        <f>IF($M49&lt;servi2,((K28)^$M49)*(FACT($E$12))/(FACT($M49)*FACT($E$12-$M49)),0)</f>
        <v>0</v>
      </c>
      <c r="AC49" s="79">
        <f t="shared" si="54"/>
        <v>0</v>
      </c>
      <c r="AD49" s="79" t="e">
        <f>IF(AND($M49&gt;=servi2,$M49&lt;=$E$12),(((K28^($M49))*FACT($E$12))/((FACT(servi2))*(FACT($E$12-$M49))*(servi2^($M49-servi2)))),0)</f>
        <v>#VALUE!</v>
      </c>
      <c r="AE49" s="97" t="e">
        <f t="shared" si="44"/>
        <v>#VALUE!</v>
      </c>
      <c r="AF49" s="96" t="e">
        <f>IF(M49&lt;=servi3,((AF48*K28*($E$12-$M49+1))/$M49),IF(servi3&lt;$M49,((AF48*K28*($E$12-$M49+1))/servi3),0))</f>
        <v>#VALUE!</v>
      </c>
      <c r="AG49" s="79">
        <f>IF($M49&lt;servi3,((K28)^$M49)*(FACT($E$12))/(FACT($M49)*FACT($E$12-$M49)),0)</f>
        <v>0</v>
      </c>
      <c r="AH49" s="79">
        <f t="shared" si="55"/>
        <v>0</v>
      </c>
      <c r="AI49" s="79" t="e">
        <f>IF(AND($M49&gt;=servi3,$M49&lt;=$E$12),(((K28^($M49))*FACT($E$12))/((FACT(servi3))*(FACT($E$12-$M49))*(servi3^($M49-servi3)))),0)</f>
        <v>#VALUE!</v>
      </c>
      <c r="AJ49" s="97" t="e">
        <f t="shared" si="45"/>
        <v>#VALUE!</v>
      </c>
      <c r="AK49" s="96" t="e">
        <f>IF(M49&lt;=servi4,((AK48*K28*($E$12-$M49+1))/$M49),IF(servi4&lt;$M49,((AK48*K28*($E$12-$M49+1))/servi4),0))</f>
        <v>#VALUE!</v>
      </c>
      <c r="AL49" s="79">
        <f>IF($M49&lt;servi4,((K28)^$M49)*(FACT($E$12))/(FACT($M49)*FACT($E$12-$M49)),0)</f>
        <v>0</v>
      </c>
      <c r="AM49" s="79">
        <f t="shared" si="56"/>
        <v>0</v>
      </c>
      <c r="AN49" s="79" t="e">
        <f t="shared" si="46"/>
        <v>#VALUE!</v>
      </c>
      <c r="AO49" s="97" t="e">
        <f t="shared" si="47"/>
        <v>#VALUE!</v>
      </c>
      <c r="AP49" s="96" t="e">
        <f>IF(M49&lt;=servi5,((AP48*K28*($E$12-$M49+1))/$M49),IF(servi5&lt;$M49,((AP48*K28*($E$12-$M49+1))/servi5),0))</f>
        <v>#VALUE!</v>
      </c>
      <c r="AQ49" s="79">
        <f>IF($M49&lt;servi5,((K28)^$M49)*(FACT($E$12))/(FACT($M49)*FACT($E$12-$M49)),0)</f>
        <v>0</v>
      </c>
      <c r="AR49" s="79">
        <f t="shared" si="57"/>
        <v>0</v>
      </c>
      <c r="AS49" s="79" t="e">
        <f t="shared" si="48"/>
        <v>#VALUE!</v>
      </c>
      <c r="AT49" s="97" t="e">
        <f t="shared" si="49"/>
        <v>#VALUE!</v>
      </c>
      <c r="AU49" s="96" t="e">
        <f>IF(M49&lt;=servi6,((AU48*K28*($E$12-$M49+1))/$M49),IF(servi6&lt;$M49,((AU48*K28*($E$12-$M49+1))/servi6),0))</f>
        <v>#VALUE!</v>
      </c>
      <c r="AV49" s="79">
        <f>IF($M49&lt;servi6,((K28)^$M49)*(FACT($E$12))/(FACT($M49)*FACT($E$12-$M49)),0)</f>
        <v>0</v>
      </c>
      <c r="AW49" s="79">
        <f t="shared" si="58"/>
        <v>0</v>
      </c>
      <c r="AX49" s="79" t="e">
        <f t="shared" si="50"/>
        <v>#VALUE!</v>
      </c>
      <c r="AY49" s="97" t="e">
        <f t="shared" si="51"/>
        <v>#VALUE!</v>
      </c>
    </row>
    <row r="50" spans="4:51" s="49" customFormat="1" ht="10.5" customHeight="1" x14ac:dyDescent="0.2">
      <c r="D50" s="82"/>
      <c r="J50" s="50"/>
      <c r="K50" s="51"/>
      <c r="M50" s="75">
        <v>42</v>
      </c>
      <c r="N50" s="78" t="str">
        <f>IF(E12&lt;&gt;"M",Q50,"")</f>
        <v/>
      </c>
      <c r="O50" s="78" t="e">
        <f t="shared" si="35"/>
        <v>#VALUE!</v>
      </c>
      <c r="Q50" s="96" t="e">
        <f>IF(M50&lt;=$E$8,((Q49*K28*($E$12-$M50+1))/$M50),IF($E$8&lt;$M50,((Q49*K28*($E$12-$M50+1))/$E$8),0))</f>
        <v>#VALUE!</v>
      </c>
      <c r="R50" s="79">
        <f>IF($M50&lt;$E$8,((K28)^$M50)*(FACT($E$12))/(FACT($M50)*FACT($E$12-$M50)),0)</f>
        <v>0</v>
      </c>
      <c r="S50" s="79">
        <f t="shared" si="52"/>
        <v>0</v>
      </c>
      <c r="T50" s="79" t="e">
        <f t="shared" si="36"/>
        <v>#VALUE!</v>
      </c>
      <c r="U50" s="97" t="e">
        <f t="shared" si="42"/>
        <v>#VALUE!</v>
      </c>
      <c r="V50" s="96" t="e">
        <f>IF(M50&lt;=servi1,((V49*K28*($E$12-$M50+1))/$M50),IF(servi1&lt;$M50,((V49*K28*($E$12-$M50+1))/servi1),0))</f>
        <v>#VALUE!</v>
      </c>
      <c r="W50" s="79">
        <f>IF($M50&lt;servi1,((K28)^$M50)*(FACT($E$12))/(FACT($M50)*FACT($E$12-$M50)),0)</f>
        <v>0</v>
      </c>
      <c r="X50" s="79">
        <f t="shared" si="53"/>
        <v>0</v>
      </c>
      <c r="Y50" s="79" t="e">
        <f>IF(AND($M50&gt;=servi1,$M50&lt;=$E$12),(((K28^($M50))*FACT($E$12))/((FACT(servi1))*(FACT($E$12-$M50))*(servi1^($M50-servi1)))),0)</f>
        <v>#VALUE!</v>
      </c>
      <c r="Z50" s="97" t="e">
        <f t="shared" si="43"/>
        <v>#VALUE!</v>
      </c>
      <c r="AA50" s="96" t="e">
        <f>IF(M50&lt;=servi2,((AA49*K28*($E$12-$M50+1))/$M50),IF(servi2&lt;$M50,((AA49*K28*($E$12-$M50+1))/servi2),0))</f>
        <v>#VALUE!</v>
      </c>
      <c r="AB50" s="79">
        <f>IF($M50&lt;servi2,((K28)^$M50)*(FACT($E$12))/(FACT($M50)*FACT($E$12-$M50)),0)</f>
        <v>0</v>
      </c>
      <c r="AC50" s="79">
        <f t="shared" si="54"/>
        <v>0</v>
      </c>
      <c r="AD50" s="79" t="e">
        <f>IF(AND($M50&gt;=servi2,$M50&lt;=$E$12),(((K28^($M50))*FACT($E$12))/((FACT(servi2))*(FACT($E$12-$M50))*(servi2^($M50-servi2)))),0)</f>
        <v>#VALUE!</v>
      </c>
      <c r="AE50" s="97" t="e">
        <f t="shared" si="44"/>
        <v>#VALUE!</v>
      </c>
      <c r="AF50" s="96" t="e">
        <f>IF(M50&lt;=servi3,((AF49*K28*($E$12-$M50+1))/$M50),IF(servi3&lt;$M50,((AF49*K28*($E$12-$M50+1))/servi3),0))</f>
        <v>#VALUE!</v>
      </c>
      <c r="AG50" s="79">
        <f>IF($M50&lt;servi3,((K28)^$M50)*(FACT($E$12))/(FACT($M50)*FACT($E$12-$M50)),0)</f>
        <v>0</v>
      </c>
      <c r="AH50" s="79">
        <f t="shared" si="55"/>
        <v>0</v>
      </c>
      <c r="AI50" s="79" t="e">
        <f>IF(AND($M50&gt;=servi3,$M50&lt;=$E$12),(((K28^($M50))*FACT($E$12))/((FACT(servi3))*(FACT($E$12-$M50))*(servi3^($M50-servi3)))),0)</f>
        <v>#VALUE!</v>
      </c>
      <c r="AJ50" s="97" t="e">
        <f t="shared" si="45"/>
        <v>#VALUE!</v>
      </c>
      <c r="AK50" s="96" t="e">
        <f>IF(M50&lt;=servi4,((AK49*K28*($E$12-$M50+1))/$M50),IF(servi4&lt;$M50,((AK49*K28*($E$12-$M50+1))/servi4),0))</f>
        <v>#VALUE!</v>
      </c>
      <c r="AL50" s="79">
        <f>IF($M50&lt;servi4,((K28)^$M50)*(FACT($E$12))/(FACT($M50)*FACT($E$12-$M50)),0)</f>
        <v>0</v>
      </c>
      <c r="AM50" s="79">
        <f t="shared" si="56"/>
        <v>0</v>
      </c>
      <c r="AN50" s="79" t="e">
        <f t="shared" si="46"/>
        <v>#VALUE!</v>
      </c>
      <c r="AO50" s="97" t="e">
        <f t="shared" si="47"/>
        <v>#VALUE!</v>
      </c>
      <c r="AP50" s="96" t="e">
        <f>IF(M50&lt;=servi5,((AP49*K28*($E$12-$M50+1))/$M50),IF(servi5&lt;$M50,((AP49*K28*($E$12-$M50+1))/servi5),0))</f>
        <v>#VALUE!</v>
      </c>
      <c r="AQ50" s="79">
        <f>IF($M50&lt;servi5,((K28)^$M50)*(FACT($E$12))/(FACT($M50)*FACT($E$12-$M50)),0)</f>
        <v>0</v>
      </c>
      <c r="AR50" s="79">
        <f t="shared" si="57"/>
        <v>0</v>
      </c>
      <c r="AS50" s="79" t="e">
        <f t="shared" si="48"/>
        <v>#VALUE!</v>
      </c>
      <c r="AT50" s="97" t="e">
        <f t="shared" si="49"/>
        <v>#VALUE!</v>
      </c>
      <c r="AU50" s="96" t="e">
        <f>IF(M50&lt;=servi6,((AU49*K28*($E$12-$M50+1))/$M50),IF(servi6&lt;$M50,((AU49*K28*($E$12-$M50+1))/servi6),0))</f>
        <v>#VALUE!</v>
      </c>
      <c r="AV50" s="79">
        <f>IF($M50&lt;servi6,((K28)^$M50)*(FACT($E$12))/(FACT($M50)*FACT($E$12-$M50)),0)</f>
        <v>0</v>
      </c>
      <c r="AW50" s="79">
        <f t="shared" si="58"/>
        <v>0</v>
      </c>
      <c r="AX50" s="79" t="e">
        <f t="shared" si="50"/>
        <v>#VALUE!</v>
      </c>
      <c r="AY50" s="97" t="e">
        <f t="shared" si="51"/>
        <v>#VALUE!</v>
      </c>
    </row>
    <row r="51" spans="4:51" s="49" customFormat="1" ht="10.5" customHeight="1" x14ac:dyDescent="0.2">
      <c r="D51" s="82"/>
      <c r="J51" s="50"/>
      <c r="K51" s="51"/>
      <c r="M51" s="75">
        <v>43</v>
      </c>
      <c r="N51" s="78" t="str">
        <f>IF(E12&lt;&gt;"M",Q51,"")</f>
        <v/>
      </c>
      <c r="O51" s="78" t="e">
        <f t="shared" si="35"/>
        <v>#VALUE!</v>
      </c>
      <c r="Q51" s="96" t="e">
        <f>IF(M51&lt;=$E$8,((Q50*K28*($E$12-$M51+1))/$M51),IF($E$8&lt;$M51,((Q50*K28*($E$12-$M51+1))/$E$8),0))</f>
        <v>#VALUE!</v>
      </c>
      <c r="R51" s="79">
        <f>IF($M51&lt;$E$8,((K28)^$M51)*(FACT($E$12))/(FACT($M51)*FACT($E$12-$M51)),0)</f>
        <v>0</v>
      </c>
      <c r="S51" s="79">
        <f t="shared" si="52"/>
        <v>0</v>
      </c>
      <c r="T51" s="79" t="e">
        <f t="shared" si="36"/>
        <v>#VALUE!</v>
      </c>
      <c r="U51" s="97" t="e">
        <f t="shared" si="42"/>
        <v>#VALUE!</v>
      </c>
      <c r="V51" s="96" t="e">
        <f>IF(M51&lt;=servi1,((V50*K28*($E$12-$M51+1))/$M51),IF(servi1&lt;$M51,((V50*K28*($E$12-$M51+1))/servi1),0))</f>
        <v>#VALUE!</v>
      </c>
      <c r="W51" s="79">
        <f>IF($M51&lt;servi1,((K28)^$M51)*(FACT($E$12))/(FACT($M51)*FACT($E$12-$M51)),0)</f>
        <v>0</v>
      </c>
      <c r="X51" s="79">
        <f t="shared" si="53"/>
        <v>0</v>
      </c>
      <c r="Y51" s="79" t="e">
        <f>IF(AND($M51&gt;=servi1,$M51&lt;=$E$12),(((K28^($M51))*FACT($E$12))/((FACT(servi1))*(FACT($E$12-$M51))*(servi1^($M51-servi1)))),0)</f>
        <v>#VALUE!</v>
      </c>
      <c r="Z51" s="97" t="e">
        <f t="shared" si="43"/>
        <v>#VALUE!</v>
      </c>
      <c r="AA51" s="96" t="e">
        <f>IF(M51&lt;=servi2,((AA50*K28*($E$12-$M51+1))/$M51),IF(servi2&lt;$M51,((AA50*K28*($E$12-$M51+1))/servi2),0))</f>
        <v>#VALUE!</v>
      </c>
      <c r="AB51" s="79">
        <f>IF($M51&lt;servi2,((K28)^$M51)*(FACT($E$12))/(FACT($M51)*FACT($E$12-$M51)),0)</f>
        <v>0</v>
      </c>
      <c r="AC51" s="79">
        <f t="shared" si="54"/>
        <v>0</v>
      </c>
      <c r="AD51" s="79" t="e">
        <f>IF(AND($M51&gt;=servi2,$M51&lt;=$E$12),(((K28^($M51))*FACT($E$12))/((FACT(servi2))*(FACT($E$12-$M51))*(servi2^($M51-servi2)))),0)</f>
        <v>#VALUE!</v>
      </c>
      <c r="AE51" s="97" t="e">
        <f t="shared" si="44"/>
        <v>#VALUE!</v>
      </c>
      <c r="AF51" s="96" t="e">
        <f>IF(M51&lt;=servi3,((AF50*K28*($E$12-$M51+1))/$M51),IF(servi3&lt;$M51,((AF50*K28*($E$12-$M51+1))/servi3),0))</f>
        <v>#VALUE!</v>
      </c>
      <c r="AG51" s="79">
        <f>IF($M51&lt;servi3,((K28)^$M51)*(FACT($E$12))/(FACT($M51)*FACT($E$12-$M51)),0)</f>
        <v>0</v>
      </c>
      <c r="AH51" s="79">
        <f t="shared" si="55"/>
        <v>0</v>
      </c>
      <c r="AI51" s="79" t="e">
        <f>IF(AND($M51&gt;=servi3,$M51&lt;=$E$12),(((K28^($M51))*FACT($E$12))/((FACT(servi3))*(FACT($E$12-$M51))*(servi3^($M51-servi3)))),0)</f>
        <v>#VALUE!</v>
      </c>
      <c r="AJ51" s="97" t="e">
        <f t="shared" si="45"/>
        <v>#VALUE!</v>
      </c>
      <c r="AK51" s="96" t="e">
        <f>IF(M51&lt;=servi4,((AK50*K28*($E$12-$M51+1))/$M51),IF(servi4&lt;$M51,((AK50*K28*($E$12-$M51+1))/servi4),0))</f>
        <v>#VALUE!</v>
      </c>
      <c r="AL51" s="79">
        <f>IF($M51&lt;servi4,((K28)^$M51)*(FACT($E$12))/(FACT($M51)*FACT($E$12-$M51)),0)</f>
        <v>0</v>
      </c>
      <c r="AM51" s="79">
        <f t="shared" si="56"/>
        <v>0</v>
      </c>
      <c r="AN51" s="79" t="e">
        <f t="shared" si="46"/>
        <v>#VALUE!</v>
      </c>
      <c r="AO51" s="97" t="e">
        <f t="shared" si="47"/>
        <v>#VALUE!</v>
      </c>
      <c r="AP51" s="96" t="e">
        <f>IF(M51&lt;=servi5,((AP50*K28*($E$12-$M51+1))/$M51),IF(servi5&lt;$M51,((AP50*K28*($E$12-$M51+1))/servi5),0))</f>
        <v>#VALUE!</v>
      </c>
      <c r="AQ51" s="79">
        <f>IF($M51&lt;servi5,((K28)^$M51)*(FACT($E$12))/(FACT($M51)*FACT($E$12-$M51)),0)</f>
        <v>0</v>
      </c>
      <c r="AR51" s="79">
        <f t="shared" si="57"/>
        <v>0</v>
      </c>
      <c r="AS51" s="79" t="e">
        <f t="shared" si="48"/>
        <v>#VALUE!</v>
      </c>
      <c r="AT51" s="97" t="e">
        <f t="shared" si="49"/>
        <v>#VALUE!</v>
      </c>
      <c r="AU51" s="96" t="e">
        <f>IF(M51&lt;=servi6,((AU50*K28*($E$12-$M51+1))/$M51),IF(servi6&lt;$M51,((AU50*K28*($E$12-$M51+1))/servi6),0))</f>
        <v>#VALUE!</v>
      </c>
      <c r="AV51" s="79">
        <f>IF($M51&lt;servi6,((K28)^$M51)*(FACT($E$12))/(FACT($M51)*FACT($E$12-$M51)),0)</f>
        <v>0</v>
      </c>
      <c r="AW51" s="79">
        <f t="shared" si="58"/>
        <v>0</v>
      </c>
      <c r="AX51" s="79" t="e">
        <f t="shared" si="50"/>
        <v>#VALUE!</v>
      </c>
      <c r="AY51" s="97" t="e">
        <f t="shared" si="51"/>
        <v>#VALUE!</v>
      </c>
    </row>
    <row r="52" spans="4:51" s="49" customFormat="1" ht="10.5" customHeight="1" x14ac:dyDescent="0.2">
      <c r="D52" s="82"/>
      <c r="J52" s="50"/>
      <c r="K52" s="51"/>
      <c r="M52" s="75">
        <v>44</v>
      </c>
      <c r="N52" s="78" t="str">
        <f>IF(E12&lt;&gt;"M",Q52,"")</f>
        <v/>
      </c>
      <c r="O52" s="78" t="e">
        <f t="shared" si="35"/>
        <v>#VALUE!</v>
      </c>
      <c r="Q52" s="96" t="e">
        <f>IF(M52&lt;=$E$8,((Q51*K28*($E$12-$M52+1))/$M52),IF($E$8&lt;$M52,((Q51*K28*($E$12-$M52+1))/$E$8),0))</f>
        <v>#VALUE!</v>
      </c>
      <c r="R52" s="79">
        <f>IF($M52&lt;$E$8,((K28)^$M52)*(FACT($E$12))/(FACT($M52)*FACT($E$12-$M52)),0)</f>
        <v>0</v>
      </c>
      <c r="S52" s="79">
        <f t="shared" si="52"/>
        <v>0</v>
      </c>
      <c r="T52" s="79" t="e">
        <f t="shared" si="36"/>
        <v>#VALUE!</v>
      </c>
      <c r="U52" s="97" t="e">
        <f t="shared" si="42"/>
        <v>#VALUE!</v>
      </c>
      <c r="V52" s="96" t="e">
        <f>IF(M52&lt;=servi1,((V51*K28*($E$12-$M52+1))/$M52),IF(servi1&lt;$M52,((V51*K28*($E$12-$M52+1))/servi1),0))</f>
        <v>#VALUE!</v>
      </c>
      <c r="W52" s="79">
        <f>IF($M52&lt;servi1,((K28)^$M52)*(FACT($E$12))/(FACT($M52)*FACT($E$12-$M52)),0)</f>
        <v>0</v>
      </c>
      <c r="X52" s="79">
        <f t="shared" si="53"/>
        <v>0</v>
      </c>
      <c r="Y52" s="79" t="e">
        <f>IF(AND($M52&gt;=servi1,$M52&lt;=$E$12),(((K28^($M52))*FACT($E$12))/((FACT(servi1))*(FACT($E$12-$M52))*(servi1^($M52-servi1)))),0)</f>
        <v>#VALUE!</v>
      </c>
      <c r="Z52" s="97" t="e">
        <f t="shared" si="43"/>
        <v>#VALUE!</v>
      </c>
      <c r="AA52" s="96" t="e">
        <f>IF(M52&lt;=servi2,((AA51*K28*($E$12-$M52+1))/$M52),IF(servi2&lt;$M52,((AA51*K28*($E$12-$M52+1))/servi2),0))</f>
        <v>#VALUE!</v>
      </c>
      <c r="AB52" s="79">
        <f>IF($M52&lt;servi2,((K28)^$M52)*(FACT($E$12))/(FACT($M52)*FACT($E$12-$M52)),0)</f>
        <v>0</v>
      </c>
      <c r="AC52" s="79">
        <f t="shared" si="54"/>
        <v>0</v>
      </c>
      <c r="AD52" s="79" t="e">
        <f>IF(AND($M52&gt;=servi2,$M52&lt;=$E$12),(((K28^($M52))*FACT($E$12))/((FACT(servi2))*(FACT($E$12-$M52))*(servi2^($M52-servi2)))),0)</f>
        <v>#VALUE!</v>
      </c>
      <c r="AE52" s="97" t="e">
        <f t="shared" si="44"/>
        <v>#VALUE!</v>
      </c>
      <c r="AF52" s="96" t="e">
        <f>IF(M52&lt;=servi3,((AF51*K28*($E$12-$M52+1))/$M52),IF(servi3&lt;$M52,((AF51*K28*($E$12-$M52+1))/servi3),0))</f>
        <v>#VALUE!</v>
      </c>
      <c r="AG52" s="79">
        <f>IF($M52&lt;servi3,((K28)^$M52)*(FACT($E$12))/(FACT($M52)*FACT($E$12-$M52)),0)</f>
        <v>0</v>
      </c>
      <c r="AH52" s="79">
        <f t="shared" si="55"/>
        <v>0</v>
      </c>
      <c r="AI52" s="79" t="e">
        <f>IF(AND($M52&gt;=servi3,$M52&lt;=$E$12),(((K28^($M52))*FACT($E$12))/((FACT(servi3))*(FACT($E$12-$M52))*(servi3^($M52-servi3)))),0)</f>
        <v>#VALUE!</v>
      </c>
      <c r="AJ52" s="97" t="e">
        <f t="shared" si="45"/>
        <v>#VALUE!</v>
      </c>
      <c r="AK52" s="96" t="e">
        <f>IF(M52&lt;=servi4,((AK51*K28*($E$12-$M52+1))/$M52),IF(servi4&lt;$M52,((AK51*K28*($E$12-$M52+1))/servi4),0))</f>
        <v>#VALUE!</v>
      </c>
      <c r="AL52" s="79">
        <f>IF($M52&lt;servi4,((K28)^$M52)*(FACT($E$12))/(FACT($M52)*FACT($E$12-$M52)),0)</f>
        <v>0</v>
      </c>
      <c r="AM52" s="79">
        <f t="shared" si="56"/>
        <v>0</v>
      </c>
      <c r="AN52" s="79" t="e">
        <f t="shared" si="46"/>
        <v>#VALUE!</v>
      </c>
      <c r="AO52" s="97" t="e">
        <f t="shared" si="47"/>
        <v>#VALUE!</v>
      </c>
      <c r="AP52" s="96" t="e">
        <f>IF(M52&lt;=servi5,((AP51*K28*($E$12-$M52+1))/$M52),IF(servi5&lt;$M52,((AP51*K28*($E$12-$M52+1))/servi5),0))</f>
        <v>#VALUE!</v>
      </c>
      <c r="AQ52" s="79">
        <f>IF($M52&lt;servi5,((K28)^$M52)*(FACT($E$12))/(FACT($M52)*FACT($E$12-$M52)),0)</f>
        <v>0</v>
      </c>
      <c r="AR52" s="79">
        <f t="shared" si="57"/>
        <v>0</v>
      </c>
      <c r="AS52" s="79" t="e">
        <f t="shared" si="48"/>
        <v>#VALUE!</v>
      </c>
      <c r="AT52" s="97" t="e">
        <f t="shared" si="49"/>
        <v>#VALUE!</v>
      </c>
      <c r="AU52" s="96" t="e">
        <f>IF(M52&lt;=servi6,((AU51*K28*($E$12-$M52+1))/$M52),IF(servi6&lt;$M52,((AU51*K28*($E$12-$M52+1))/servi6),0))</f>
        <v>#VALUE!</v>
      </c>
      <c r="AV52" s="79">
        <f>IF($M52&lt;servi6,((K28)^$M52)*(FACT($E$12))/(FACT($M52)*FACT($E$12-$M52)),0)</f>
        <v>0</v>
      </c>
      <c r="AW52" s="79">
        <f t="shared" si="58"/>
        <v>0</v>
      </c>
      <c r="AX52" s="79" t="e">
        <f t="shared" si="50"/>
        <v>#VALUE!</v>
      </c>
      <c r="AY52" s="97" t="e">
        <f t="shared" si="51"/>
        <v>#VALUE!</v>
      </c>
    </row>
    <row r="53" spans="4:51" s="49" customFormat="1" ht="10.5" customHeight="1" x14ac:dyDescent="0.2">
      <c r="D53" s="82"/>
      <c r="J53" s="50"/>
      <c r="K53" s="51"/>
      <c r="M53" s="75">
        <v>45</v>
      </c>
      <c r="N53" s="78" t="str">
        <f>IF(E12&lt;&gt;"M",Q53,"")</f>
        <v/>
      </c>
      <c r="O53" s="78" t="e">
        <f t="shared" si="35"/>
        <v>#VALUE!</v>
      </c>
      <c r="Q53" s="96" t="e">
        <f>IF(M53&lt;=$E$8,((Q52*K28*($E$12-$M53+1))/$M53),IF($E$8&lt;$M53,((Q52*K28*($E$12-$M53+1))/$E$8),0))</f>
        <v>#VALUE!</v>
      </c>
      <c r="R53" s="79">
        <f>IF($M53&lt;$E$8,((K28)^$M53)*(FACT($E$12))/(FACT($M53)*FACT($E$12-$M53)),0)</f>
        <v>0</v>
      </c>
      <c r="S53" s="79">
        <f t="shared" si="52"/>
        <v>0</v>
      </c>
      <c r="T53" s="79" t="e">
        <f t="shared" si="36"/>
        <v>#VALUE!</v>
      </c>
      <c r="U53" s="97" t="e">
        <f t="shared" si="42"/>
        <v>#VALUE!</v>
      </c>
      <c r="V53" s="96" t="e">
        <f>IF(M53&lt;=servi1,((V52*K28*($E$12-$M53+1))/$M53),IF(servi1&lt;$M53,((V52*K28*($E$12-$M53+1))/servi1),0))</f>
        <v>#VALUE!</v>
      </c>
      <c r="W53" s="79">
        <f>IF($M53&lt;servi1,((K28)^$M53)*(FACT($E$12))/(FACT($M53)*FACT($E$12-$M53)),0)</f>
        <v>0</v>
      </c>
      <c r="X53" s="79">
        <f t="shared" si="53"/>
        <v>0</v>
      </c>
      <c r="Y53" s="79" t="e">
        <f>IF(AND($M53&gt;=servi1,$M53&lt;=$E$12),(((K28^($M53))*FACT($E$12))/((FACT(servi1))*(FACT($E$12-$M53))*(servi1^($M53-servi1)))),0)</f>
        <v>#VALUE!</v>
      </c>
      <c r="Z53" s="97" t="e">
        <f t="shared" si="43"/>
        <v>#VALUE!</v>
      </c>
      <c r="AA53" s="96" t="e">
        <f>IF(M53&lt;=servi2,((AA52*K28*($E$12-$M53+1))/$M53),IF(servi2&lt;$M53,((AA52*K28*($E$12-$M53+1))/servi2),0))</f>
        <v>#VALUE!</v>
      </c>
      <c r="AB53" s="79">
        <f>IF($M53&lt;servi2,((K28)^$M53)*(FACT($E$12))/(FACT($M53)*FACT($E$12-$M53)),0)</f>
        <v>0</v>
      </c>
      <c r="AC53" s="79">
        <f t="shared" si="54"/>
        <v>0</v>
      </c>
      <c r="AD53" s="79" t="e">
        <f>IF(AND($M53&gt;=servi2,$M53&lt;=$E$12),(((K28^($M53))*FACT($E$12))/((FACT(servi2))*(FACT($E$12-$M53))*(servi2^($M53-servi2)))),0)</f>
        <v>#VALUE!</v>
      </c>
      <c r="AE53" s="97" t="e">
        <f t="shared" si="44"/>
        <v>#VALUE!</v>
      </c>
      <c r="AF53" s="96" t="e">
        <f>IF(M53&lt;=servi3,((AF52*K28*($E$12-$M53+1))/$M53),IF(servi3&lt;$M53,((AF52*K28*($E$12-$M53+1))/servi3),0))</f>
        <v>#VALUE!</v>
      </c>
      <c r="AG53" s="79">
        <f>IF($M53&lt;servi3,((K28)^$M53)*(FACT($E$12))/(FACT($M53)*FACT($E$12-$M53)),0)</f>
        <v>0</v>
      </c>
      <c r="AH53" s="79">
        <f t="shared" si="55"/>
        <v>0</v>
      </c>
      <c r="AI53" s="79" t="e">
        <f>IF(AND($M53&gt;=servi3,$M53&lt;=$E$12),(((K28^($M53))*FACT($E$12))/((FACT(servi3))*(FACT($E$12-$M53))*(servi3^($M53-servi3)))),0)</f>
        <v>#VALUE!</v>
      </c>
      <c r="AJ53" s="97" t="e">
        <f t="shared" si="45"/>
        <v>#VALUE!</v>
      </c>
      <c r="AK53" s="96" t="e">
        <f>IF(M53&lt;=servi4,((AK52*K28*($E$12-$M53+1))/$M53),IF(servi4&lt;$M53,((AK52*K28*($E$12-$M53+1))/servi4),0))</f>
        <v>#VALUE!</v>
      </c>
      <c r="AL53" s="79">
        <f>IF($M53&lt;servi4,((K28)^$M53)*(FACT($E$12))/(FACT($M53)*FACT($E$12-$M53)),0)</f>
        <v>0</v>
      </c>
      <c r="AM53" s="79">
        <f t="shared" si="56"/>
        <v>0</v>
      </c>
      <c r="AN53" s="79" t="e">
        <f t="shared" si="46"/>
        <v>#VALUE!</v>
      </c>
      <c r="AO53" s="97" t="e">
        <f t="shared" si="47"/>
        <v>#VALUE!</v>
      </c>
      <c r="AP53" s="96" t="e">
        <f>IF(M53&lt;=servi5,((AP52*K28*($E$12-$M53+1))/$M53),IF(servi5&lt;$M53,((AP52*K28*($E$12-$M53+1))/servi5),0))</f>
        <v>#VALUE!</v>
      </c>
      <c r="AQ53" s="79">
        <f>IF($M53&lt;servi5,((K28)^$M53)*(FACT($E$12))/(FACT($M53)*FACT($E$12-$M53)),0)</f>
        <v>0</v>
      </c>
      <c r="AR53" s="79">
        <f t="shared" si="57"/>
        <v>0</v>
      </c>
      <c r="AS53" s="79" t="e">
        <f t="shared" si="48"/>
        <v>#VALUE!</v>
      </c>
      <c r="AT53" s="97" t="e">
        <f t="shared" si="49"/>
        <v>#VALUE!</v>
      </c>
      <c r="AU53" s="96" t="e">
        <f>IF(M53&lt;=servi6,((AU52*K28*($E$12-$M53+1))/$M53),IF(servi6&lt;$M53,((AU52*K28*($E$12-$M53+1))/servi6),0))</f>
        <v>#VALUE!</v>
      </c>
      <c r="AV53" s="79">
        <f>IF($M53&lt;servi6,((K28)^$M53)*(FACT($E$12))/(FACT($M53)*FACT($E$12-$M53)),0)</f>
        <v>0</v>
      </c>
      <c r="AW53" s="79">
        <f t="shared" si="58"/>
        <v>0</v>
      </c>
      <c r="AX53" s="79" t="e">
        <f t="shared" si="50"/>
        <v>#VALUE!</v>
      </c>
      <c r="AY53" s="97" t="e">
        <f t="shared" si="51"/>
        <v>#VALUE!</v>
      </c>
    </row>
    <row r="54" spans="4:51" s="49" customFormat="1" ht="10.5" customHeight="1" x14ac:dyDescent="0.2">
      <c r="D54" s="82"/>
      <c r="J54" s="50"/>
      <c r="K54" s="51"/>
      <c r="M54" s="75">
        <v>46</v>
      </c>
      <c r="N54" s="78" t="str">
        <f>IF(E12&lt;&gt;"M",Q54,"")</f>
        <v/>
      </c>
      <c r="O54" s="78" t="e">
        <f t="shared" si="35"/>
        <v>#VALUE!</v>
      </c>
      <c r="Q54" s="96" t="e">
        <f>IF(M54&lt;=$E$8,((Q53*K28*($E$12-$M54+1))/$M54),IF($E$8&lt;$M54,((Q53*K28*($E$12-$M54+1))/$E$8),0))</f>
        <v>#VALUE!</v>
      </c>
      <c r="R54" s="79">
        <f>IF($M54&lt;$E$8,((K28)^$M54)*(FACT($E$12))/(FACT($M54)*FACT($E$12-$M54)),0)</f>
        <v>0</v>
      </c>
      <c r="S54" s="79">
        <f t="shared" si="52"/>
        <v>0</v>
      </c>
      <c r="T54" s="79" t="e">
        <f t="shared" si="36"/>
        <v>#VALUE!</v>
      </c>
      <c r="U54" s="97" t="e">
        <f t="shared" si="42"/>
        <v>#VALUE!</v>
      </c>
      <c r="V54" s="96" t="e">
        <f>IF(M54&lt;=servi1,((V53*K28*($E$12-$M54+1))/$M54),IF(servi1&lt;$M54,((V53*K28*($E$12-$M54+1))/servi1),0))</f>
        <v>#VALUE!</v>
      </c>
      <c r="W54" s="79">
        <f>IF($M54&lt;servi1,((K28)^$M54)*(FACT($E$12))/(FACT($M54)*FACT($E$12-$M54)),0)</f>
        <v>0</v>
      </c>
      <c r="X54" s="79">
        <f t="shared" si="53"/>
        <v>0</v>
      </c>
      <c r="Y54" s="79" t="e">
        <f>IF(AND($M54&gt;=servi1,$M54&lt;=$E$12),(((K28^($M54))*FACT($E$12))/((FACT(servi1))*(FACT($E$12-$M54))*(servi1^($M54-servi1)))),0)</f>
        <v>#VALUE!</v>
      </c>
      <c r="Z54" s="97" t="e">
        <f t="shared" si="43"/>
        <v>#VALUE!</v>
      </c>
      <c r="AA54" s="96" t="e">
        <f>IF(M54&lt;=servi2,((AA53*K28*($E$12-$M54+1))/$M54),IF(servi2&lt;$M54,((AA53*K28*($E$12-$M54+1))/servi2),0))</f>
        <v>#VALUE!</v>
      </c>
      <c r="AB54" s="79">
        <f>IF($M54&lt;servi2,((K28)^$M54)*(FACT($E$12))/(FACT($M54)*FACT($E$12-$M54)),0)</f>
        <v>0</v>
      </c>
      <c r="AC54" s="79">
        <f t="shared" si="54"/>
        <v>0</v>
      </c>
      <c r="AD54" s="79" t="e">
        <f>IF(AND($M54&gt;=servi2,$M54&lt;=$E$12),(((K28^($M54))*FACT($E$12))/((FACT(servi2))*(FACT($E$12-$M54))*(servi2^($M54-servi2)))),0)</f>
        <v>#VALUE!</v>
      </c>
      <c r="AE54" s="97" t="e">
        <f t="shared" si="44"/>
        <v>#VALUE!</v>
      </c>
      <c r="AF54" s="96" t="e">
        <f>IF(M54&lt;=servi3,((AF53*K28*($E$12-$M54+1))/$M54),IF(servi3&lt;$M54,((AF53*K28*($E$12-$M54+1))/servi3),0))</f>
        <v>#VALUE!</v>
      </c>
      <c r="AG54" s="79">
        <f>IF($M54&lt;servi3,((K28)^$M54)*(FACT($E$12))/(FACT($M54)*FACT($E$12-$M54)),0)</f>
        <v>0</v>
      </c>
      <c r="AH54" s="79">
        <f t="shared" si="55"/>
        <v>0</v>
      </c>
      <c r="AI54" s="79" t="e">
        <f>IF(AND($M54&gt;=servi3,$M54&lt;=$E$12),(((K28^($M54))*FACT($E$12))/((FACT(servi3))*(FACT($E$12-$M54))*(servi3^($M54-servi3)))),0)</f>
        <v>#VALUE!</v>
      </c>
      <c r="AJ54" s="97" t="e">
        <f t="shared" si="45"/>
        <v>#VALUE!</v>
      </c>
      <c r="AK54" s="96" t="e">
        <f>IF(M54&lt;=servi4,((AK53*K28*($E$12-$M54+1))/$M54),IF(servi4&lt;$M54,((AK53*K28*($E$12-$M54+1))/servi4),0))</f>
        <v>#VALUE!</v>
      </c>
      <c r="AL54" s="79">
        <f>IF($M54&lt;servi4,((K28)^$M54)*(FACT($E$12))/(FACT($M54)*FACT($E$12-$M54)),0)</f>
        <v>0</v>
      </c>
      <c r="AM54" s="79">
        <f t="shared" si="56"/>
        <v>0</v>
      </c>
      <c r="AN54" s="79" t="e">
        <f t="shared" si="46"/>
        <v>#VALUE!</v>
      </c>
      <c r="AO54" s="97" t="e">
        <f t="shared" si="47"/>
        <v>#VALUE!</v>
      </c>
      <c r="AP54" s="96" t="e">
        <f>IF(M54&lt;=servi5,((AP53*K28*($E$12-$M54+1))/$M54),IF(servi5&lt;$M54,((AP53*K28*($E$12-$M54+1))/servi5),0))</f>
        <v>#VALUE!</v>
      </c>
      <c r="AQ54" s="79">
        <f>IF($M54&lt;servi5,((K28)^$M54)*(FACT($E$12))/(FACT($M54)*FACT($E$12-$M54)),0)</f>
        <v>0</v>
      </c>
      <c r="AR54" s="79">
        <f t="shared" si="57"/>
        <v>0</v>
      </c>
      <c r="AS54" s="79" t="e">
        <f t="shared" si="48"/>
        <v>#VALUE!</v>
      </c>
      <c r="AT54" s="97" t="e">
        <f t="shared" si="49"/>
        <v>#VALUE!</v>
      </c>
      <c r="AU54" s="96" t="e">
        <f>IF(M54&lt;=servi6,((AU53*K28*($E$12-$M54+1))/$M54),IF(servi6&lt;$M54,((AU53*K28*($E$12-$M54+1))/servi6),0))</f>
        <v>#VALUE!</v>
      </c>
      <c r="AV54" s="79">
        <f>IF($M54&lt;servi6,((K28)^$M54)*(FACT($E$12))/(FACT($M54)*FACT($E$12-$M54)),0)</f>
        <v>0</v>
      </c>
      <c r="AW54" s="79">
        <f t="shared" si="58"/>
        <v>0</v>
      </c>
      <c r="AX54" s="79" t="e">
        <f t="shared" si="50"/>
        <v>#VALUE!</v>
      </c>
      <c r="AY54" s="97" t="e">
        <f t="shared" si="51"/>
        <v>#VALUE!</v>
      </c>
    </row>
    <row r="55" spans="4:51" s="49" customFormat="1" ht="10.5" customHeight="1" x14ac:dyDescent="0.2">
      <c r="D55" s="82"/>
      <c r="J55" s="50"/>
      <c r="K55" s="51"/>
      <c r="M55" s="75">
        <v>47</v>
      </c>
      <c r="N55" s="78" t="str">
        <f>IF(E12&lt;&gt;"M",Q55,"")</f>
        <v/>
      </c>
      <c r="O55" s="78" t="e">
        <f t="shared" si="35"/>
        <v>#VALUE!</v>
      </c>
      <c r="Q55" s="96" t="e">
        <f>IF(M55&lt;=$E$8,((Q54*K28*($E$12-$M55+1))/$M55),IF($E$8&lt;$M55,((Q54*K28*($E$12-$M55+1))/$E$8),0))</f>
        <v>#VALUE!</v>
      </c>
      <c r="R55" s="79">
        <f>IF($M55&lt;$E$8,((K28)^$M55)*(FACT($E$12))/(FACT($M55)*FACT($E$12-$M55)),0)</f>
        <v>0</v>
      </c>
      <c r="S55" s="79">
        <f t="shared" si="52"/>
        <v>0</v>
      </c>
      <c r="T55" s="79" t="e">
        <f t="shared" si="36"/>
        <v>#VALUE!</v>
      </c>
      <c r="U55" s="97" t="e">
        <f t="shared" si="42"/>
        <v>#VALUE!</v>
      </c>
      <c r="V55" s="96" t="e">
        <f>IF(M55&lt;=servi1,((V54*K28*($E$12-$M55+1))/$M55),IF(servi1&lt;$M55,((V54*K28*($E$12-$M55+1))/servi1),0))</f>
        <v>#VALUE!</v>
      </c>
      <c r="W55" s="79">
        <f>IF($M55&lt;servi1,((K28)^$M55)*(FACT($E$12))/(FACT($M55)*FACT($E$12-$M55)),0)</f>
        <v>0</v>
      </c>
      <c r="X55" s="79">
        <f t="shared" si="53"/>
        <v>0</v>
      </c>
      <c r="Y55" s="79" t="e">
        <f>IF(AND($M55&gt;=servi1,$M55&lt;=$E$12),(((K28^($M55))*FACT($E$12))/((FACT(servi1))*(FACT($E$12-$M55))*(servi1^($M55-servi1)))),0)</f>
        <v>#VALUE!</v>
      </c>
      <c r="Z55" s="97" t="e">
        <f t="shared" si="43"/>
        <v>#VALUE!</v>
      </c>
      <c r="AA55" s="96" t="e">
        <f>IF(M55&lt;=servi2,((AA54*K28*($E$12-$M55+1))/$M55),IF(servi2&lt;$M55,((AA54*K28*($E$12-$M55+1))/servi2),0))</f>
        <v>#VALUE!</v>
      </c>
      <c r="AB55" s="79">
        <f>IF($M55&lt;servi2,((K28)^$M55)*(FACT($E$12))/(FACT($M55)*FACT($E$12-$M55)),0)</f>
        <v>0</v>
      </c>
      <c r="AC55" s="79">
        <f t="shared" si="54"/>
        <v>0</v>
      </c>
      <c r="AD55" s="79" t="e">
        <f>IF(AND($M55&gt;=servi2,$M55&lt;=$E$12),(((K28^($M55))*FACT($E$12))/((FACT(servi2))*(FACT($E$12-$M55))*(servi2^($M55-servi2)))),0)</f>
        <v>#VALUE!</v>
      </c>
      <c r="AE55" s="97" t="e">
        <f t="shared" si="44"/>
        <v>#VALUE!</v>
      </c>
      <c r="AF55" s="96" t="e">
        <f>IF(M55&lt;=servi3,((AF54*K28*($E$12-$M55+1))/$M55),IF(servi3&lt;$M55,((AF54*K28*($E$12-$M55+1))/servi3),0))</f>
        <v>#VALUE!</v>
      </c>
      <c r="AG55" s="79">
        <f>IF($M55&lt;servi3,((K28)^$M55)*(FACT($E$12))/(FACT($M55)*FACT($E$12-$M55)),0)</f>
        <v>0</v>
      </c>
      <c r="AH55" s="79">
        <f t="shared" si="55"/>
        <v>0</v>
      </c>
      <c r="AI55" s="79" t="e">
        <f>IF(AND($M55&gt;=servi3,$M55&lt;=$E$12),(((K28^($M55))*FACT($E$12))/((FACT(servi3))*(FACT($E$12-$M55))*(servi3^($M55-servi3)))),0)</f>
        <v>#VALUE!</v>
      </c>
      <c r="AJ55" s="97" t="e">
        <f t="shared" si="45"/>
        <v>#VALUE!</v>
      </c>
      <c r="AK55" s="96" t="e">
        <f>IF(M55&lt;=servi4,((AK54*K28*($E$12-$M55+1))/$M55),IF(servi4&lt;$M55,((AK54*K28*($E$12-$M55+1))/servi4),0))</f>
        <v>#VALUE!</v>
      </c>
      <c r="AL55" s="79">
        <f>IF($M55&lt;servi4,((K28)^$M55)*(FACT($E$12))/(FACT($M55)*FACT($E$12-$M55)),0)</f>
        <v>0</v>
      </c>
      <c r="AM55" s="79">
        <f t="shared" si="56"/>
        <v>0</v>
      </c>
      <c r="AN55" s="79" t="e">
        <f t="shared" si="46"/>
        <v>#VALUE!</v>
      </c>
      <c r="AO55" s="97" t="e">
        <f t="shared" si="47"/>
        <v>#VALUE!</v>
      </c>
      <c r="AP55" s="96" t="e">
        <f>IF(M55&lt;=servi5,((AP54*K28*($E$12-$M55+1))/$M55),IF(servi5&lt;$M55,((AP54*K28*($E$12-$M55+1))/servi5),0))</f>
        <v>#VALUE!</v>
      </c>
      <c r="AQ55" s="79">
        <f>IF($M55&lt;servi5,((K28)^$M55)*(FACT($E$12))/(FACT($M55)*FACT($E$12-$M55)),0)</f>
        <v>0</v>
      </c>
      <c r="AR55" s="79">
        <f t="shared" si="57"/>
        <v>0</v>
      </c>
      <c r="AS55" s="79" t="e">
        <f t="shared" si="48"/>
        <v>#VALUE!</v>
      </c>
      <c r="AT55" s="97" t="e">
        <f t="shared" si="49"/>
        <v>#VALUE!</v>
      </c>
      <c r="AU55" s="96" t="e">
        <f>IF(M55&lt;=servi6,((AU54*K28*($E$12-$M55+1))/$M55),IF(servi6&lt;$M55,((AU54*K28*($E$12-$M55+1))/servi6),0))</f>
        <v>#VALUE!</v>
      </c>
      <c r="AV55" s="79">
        <f>IF($M55&lt;servi6,((K28)^$M55)*(FACT($E$12))/(FACT($M55)*FACT($E$12-$M55)),0)</f>
        <v>0</v>
      </c>
      <c r="AW55" s="79">
        <f t="shared" si="58"/>
        <v>0</v>
      </c>
      <c r="AX55" s="79" t="e">
        <f t="shared" si="50"/>
        <v>#VALUE!</v>
      </c>
      <c r="AY55" s="97" t="e">
        <f t="shared" si="51"/>
        <v>#VALUE!</v>
      </c>
    </row>
    <row r="56" spans="4:51" s="49" customFormat="1" ht="10.5" customHeight="1" x14ac:dyDescent="0.2">
      <c r="D56" s="82"/>
      <c r="J56" s="50"/>
      <c r="K56" s="51"/>
      <c r="M56" s="75">
        <v>48</v>
      </c>
      <c r="N56" s="78" t="str">
        <f>IF(E12&lt;&gt;"M",Q56,"")</f>
        <v/>
      </c>
      <c r="O56" s="78" t="e">
        <f t="shared" si="35"/>
        <v>#VALUE!</v>
      </c>
      <c r="Q56" s="96" t="e">
        <f>IF(M56&lt;=$E$8,((Q55*K28*($E$12-$M56+1))/$M56),IF($E$8&lt;$M56,((Q55*K28*($E$12-$M56+1))/$E$8),0))</f>
        <v>#VALUE!</v>
      </c>
      <c r="R56" s="79">
        <f>IF($M56&lt;$E$8,((K28)^$M56)*(FACT($E$12))/(FACT($M56)*FACT($E$12-$M56)),0)</f>
        <v>0</v>
      </c>
      <c r="S56" s="79">
        <f t="shared" si="52"/>
        <v>0</v>
      </c>
      <c r="T56" s="79" t="e">
        <f t="shared" si="36"/>
        <v>#VALUE!</v>
      </c>
      <c r="U56" s="97" t="e">
        <f t="shared" si="42"/>
        <v>#VALUE!</v>
      </c>
      <c r="V56" s="96" t="e">
        <f>IF(M56&lt;=servi1,((V55*K28*($E$12-$M56+1))/$M56),IF(servi1&lt;$M56,((V55*K28*($E$12-$M56+1))/servi1),0))</f>
        <v>#VALUE!</v>
      </c>
      <c r="W56" s="79">
        <f>IF($M56&lt;servi1,((K28)^$M56)*(FACT($E$12))/(FACT($M56)*FACT($E$12-$M56)),0)</f>
        <v>0</v>
      </c>
      <c r="X56" s="79">
        <f t="shared" si="53"/>
        <v>0</v>
      </c>
      <c r="Y56" s="79" t="e">
        <f>IF(AND($M56&gt;=servi1,$M56&lt;=$E$12),(((K28^($M56))*FACT($E$12))/((FACT(servi1))*(FACT($E$12-$M56))*(servi1^($M56-servi1)))),0)</f>
        <v>#VALUE!</v>
      </c>
      <c r="Z56" s="97" t="e">
        <f t="shared" si="43"/>
        <v>#VALUE!</v>
      </c>
      <c r="AA56" s="96" t="e">
        <f>IF(M56&lt;=servi2,((AA55*K28*($E$12-$M56+1))/$M56),IF(servi2&lt;$M56,((AA55*K28*($E$12-$M56+1))/servi2),0))</f>
        <v>#VALUE!</v>
      </c>
      <c r="AB56" s="79">
        <f>IF($M56&lt;servi2,((K28)^$M56)*(FACT($E$12))/(FACT($M56)*FACT($E$12-$M56)),0)</f>
        <v>0</v>
      </c>
      <c r="AC56" s="79">
        <f t="shared" si="54"/>
        <v>0</v>
      </c>
      <c r="AD56" s="79" t="e">
        <f>IF(AND($M56&gt;=servi2,$M56&lt;=$E$12),(((K28^($M56))*FACT($E$12))/((FACT(servi2))*(FACT($E$12-$M56))*(servi2^($M56-servi2)))),0)</f>
        <v>#VALUE!</v>
      </c>
      <c r="AE56" s="97" t="e">
        <f t="shared" si="44"/>
        <v>#VALUE!</v>
      </c>
      <c r="AF56" s="96" t="e">
        <f>IF(M56&lt;=servi3,((AF55*K28*($E$12-$M56+1))/$M56),IF(servi3&lt;$M56,((AF55*K28*($E$12-$M56+1))/servi3),0))</f>
        <v>#VALUE!</v>
      </c>
      <c r="AG56" s="79">
        <f>IF($M56&lt;servi3,((K28)^$M56)*(FACT($E$12))/(FACT($M56)*FACT($E$12-$M56)),0)</f>
        <v>0</v>
      </c>
      <c r="AH56" s="79">
        <f t="shared" si="55"/>
        <v>0</v>
      </c>
      <c r="AI56" s="79" t="e">
        <f>IF(AND($M56&gt;=servi3,$M56&lt;=$E$12),(((K28^($M56))*FACT($E$12))/((FACT(servi3))*(FACT($E$12-$M56))*(servi3^($M56-servi3)))),0)</f>
        <v>#VALUE!</v>
      </c>
      <c r="AJ56" s="97" t="e">
        <f t="shared" si="45"/>
        <v>#VALUE!</v>
      </c>
      <c r="AK56" s="96" t="e">
        <f>IF(M56&lt;=servi4,((AK55*K28*($E$12-$M56+1))/$M56),IF(servi4&lt;$M56,((AK55*K28*($E$12-$M56+1))/servi4),0))</f>
        <v>#VALUE!</v>
      </c>
      <c r="AL56" s="79">
        <f>IF($M56&lt;servi4,((K28)^$M56)*(FACT($E$12))/(FACT($M56)*FACT($E$12-$M56)),0)</f>
        <v>0</v>
      </c>
      <c r="AM56" s="79">
        <f t="shared" si="56"/>
        <v>0</v>
      </c>
      <c r="AN56" s="79" t="e">
        <f t="shared" si="46"/>
        <v>#VALUE!</v>
      </c>
      <c r="AO56" s="97" t="e">
        <f t="shared" si="47"/>
        <v>#VALUE!</v>
      </c>
      <c r="AP56" s="96" t="e">
        <f>IF(M56&lt;=servi5,((AP55*K28*($E$12-$M56+1))/$M56),IF(servi5&lt;$M56,((AP55*K28*($E$12-$M56+1))/servi5),0))</f>
        <v>#VALUE!</v>
      </c>
      <c r="AQ56" s="79">
        <f>IF($M56&lt;servi5,((K28)^$M56)*(FACT($E$12))/(FACT($M56)*FACT($E$12-$M56)),0)</f>
        <v>0</v>
      </c>
      <c r="AR56" s="79">
        <f t="shared" si="57"/>
        <v>0</v>
      </c>
      <c r="AS56" s="79" t="e">
        <f t="shared" si="48"/>
        <v>#VALUE!</v>
      </c>
      <c r="AT56" s="97" t="e">
        <f t="shared" si="49"/>
        <v>#VALUE!</v>
      </c>
      <c r="AU56" s="96" t="e">
        <f>IF(M56&lt;=servi6,((AU55*K28*($E$12-$M56+1))/$M56),IF(servi6&lt;$M56,((AU55*K28*($E$12-$M56+1))/servi6),0))</f>
        <v>#VALUE!</v>
      </c>
      <c r="AV56" s="79">
        <f>IF($M56&lt;servi6,((K28)^$M56)*(FACT($E$12))/(FACT($M56)*FACT($E$12-$M56)),0)</f>
        <v>0</v>
      </c>
      <c r="AW56" s="79">
        <f t="shared" si="58"/>
        <v>0</v>
      </c>
      <c r="AX56" s="79" t="e">
        <f t="shared" si="50"/>
        <v>#VALUE!</v>
      </c>
      <c r="AY56" s="97" t="e">
        <f t="shared" si="51"/>
        <v>#VALUE!</v>
      </c>
    </row>
    <row r="57" spans="4:51" s="49" customFormat="1" ht="10.5" customHeight="1" x14ac:dyDescent="0.2">
      <c r="D57" s="82"/>
      <c r="J57" s="50"/>
      <c r="K57" s="51"/>
      <c r="M57" s="75">
        <v>49</v>
      </c>
      <c r="N57" s="78" t="str">
        <f>IF(E12&lt;&gt;"M",Q57,"")</f>
        <v/>
      </c>
      <c r="O57" s="78" t="e">
        <f t="shared" si="35"/>
        <v>#VALUE!</v>
      </c>
      <c r="Q57" s="96" t="e">
        <f>IF(M57&lt;=$E$8,((Q56*K28*($E$12-$M57+1))/$M57),IF($E$8&lt;$M57,((Q56*K28*($E$12-$M57+1))/$E$8),0))</f>
        <v>#VALUE!</v>
      </c>
      <c r="R57" s="79">
        <f>IF($M57&lt;$E$8,((K28)^$M57)*(FACT($E$12))/(FACT($M57)*FACT($E$12-$M57)),0)</f>
        <v>0</v>
      </c>
      <c r="S57" s="79">
        <f t="shared" si="52"/>
        <v>0</v>
      </c>
      <c r="T57" s="79" t="e">
        <f t="shared" si="36"/>
        <v>#VALUE!</v>
      </c>
      <c r="U57" s="97" t="e">
        <f t="shared" si="42"/>
        <v>#VALUE!</v>
      </c>
      <c r="V57" s="96" t="e">
        <f>IF(M57&lt;=servi1,((V56*K28*($E$12-$M57+1))/$M57),IF(servi1&lt;$M57,((V56*K28*($E$12-$M57+1))/servi1),0))</f>
        <v>#VALUE!</v>
      </c>
      <c r="W57" s="79">
        <f>IF($M57&lt;servi1,((K28)^$M57)*(FACT($E$12))/(FACT($M57)*FACT($E$12-$M57)),0)</f>
        <v>0</v>
      </c>
      <c r="X57" s="79">
        <f t="shared" si="53"/>
        <v>0</v>
      </c>
      <c r="Y57" s="79" t="e">
        <f>IF(AND($M57&gt;=servi1,$M57&lt;=$E$12),(((K28^($M57))*FACT($E$12))/((FACT(servi1))*(FACT($E$12-$M57))*(servi1^($M57-servi1)))),0)</f>
        <v>#VALUE!</v>
      </c>
      <c r="Z57" s="97" t="e">
        <f t="shared" si="43"/>
        <v>#VALUE!</v>
      </c>
      <c r="AA57" s="96" t="e">
        <f>IF(M57&lt;=servi2,((AA56*K28*($E$12-$M57+1))/$M57),IF(servi2&lt;$M57,((AA56*K28*($E$12-$M57+1))/servi2),0))</f>
        <v>#VALUE!</v>
      </c>
      <c r="AB57" s="79">
        <f>IF($M57&lt;servi2,((K28)^$M57)*(FACT($E$12))/(FACT($M57)*FACT($E$12-$M57)),0)</f>
        <v>0</v>
      </c>
      <c r="AC57" s="79">
        <f t="shared" si="54"/>
        <v>0</v>
      </c>
      <c r="AD57" s="79" t="e">
        <f>IF(AND($M57&gt;=servi2,$M57&lt;=$E$12),(((K28^($M57))*FACT($E$12))/((FACT(servi2))*(FACT($E$12-$M57))*(servi2^($M57-servi2)))),0)</f>
        <v>#VALUE!</v>
      </c>
      <c r="AE57" s="97" t="e">
        <f t="shared" si="44"/>
        <v>#VALUE!</v>
      </c>
      <c r="AF57" s="96" t="e">
        <f>IF(M57&lt;=servi3,((AF56*K28*($E$12-$M57+1))/$M57),IF(servi3&lt;$M57,((AF56*K28*($E$12-$M57+1))/servi3),0))</f>
        <v>#VALUE!</v>
      </c>
      <c r="AG57" s="79">
        <f>IF($M57&lt;servi3,((K28)^$M57)*(FACT($E$12))/(FACT($M57)*FACT($E$12-$M57)),0)</f>
        <v>0</v>
      </c>
      <c r="AH57" s="79">
        <f t="shared" si="55"/>
        <v>0</v>
      </c>
      <c r="AI57" s="79" t="e">
        <f>IF(AND($M57&gt;=servi3,$M57&lt;=$E$12),(((K28^($M57))*FACT($E$12))/((FACT(servi3))*(FACT($E$12-$M57))*(servi3^($M57-servi3)))),0)</f>
        <v>#VALUE!</v>
      </c>
      <c r="AJ57" s="97" t="e">
        <f t="shared" si="45"/>
        <v>#VALUE!</v>
      </c>
      <c r="AK57" s="96" t="e">
        <f>IF(M57&lt;=servi4,((AK56*K28*($E$12-$M57+1))/$M57),IF(servi4&lt;$M57,((AK56*K28*($E$12-$M57+1))/servi4),0))</f>
        <v>#VALUE!</v>
      </c>
      <c r="AL57" s="79">
        <f>IF($M57&lt;servi4,((K28)^$M57)*(FACT($E$12))/(FACT($M57)*FACT($E$12-$M57)),0)</f>
        <v>0</v>
      </c>
      <c r="AM57" s="79">
        <f t="shared" si="56"/>
        <v>0</v>
      </c>
      <c r="AN57" s="79" t="e">
        <f t="shared" si="46"/>
        <v>#VALUE!</v>
      </c>
      <c r="AO57" s="97" t="e">
        <f t="shared" si="47"/>
        <v>#VALUE!</v>
      </c>
      <c r="AP57" s="96" t="e">
        <f>IF(M57&lt;=servi5,((AP56*K28*($E$12-$M57+1))/$M57),IF(servi5&lt;$M57,((AP56*K28*($E$12-$M57+1))/servi5),0))</f>
        <v>#VALUE!</v>
      </c>
      <c r="AQ57" s="79">
        <f>IF($M57&lt;servi5,((K28)^$M57)*(FACT($E$12))/(FACT($M57)*FACT($E$12-$M57)),0)</f>
        <v>0</v>
      </c>
      <c r="AR57" s="79">
        <f t="shared" si="57"/>
        <v>0</v>
      </c>
      <c r="AS57" s="79" t="e">
        <f t="shared" si="48"/>
        <v>#VALUE!</v>
      </c>
      <c r="AT57" s="97" t="e">
        <f t="shared" si="49"/>
        <v>#VALUE!</v>
      </c>
      <c r="AU57" s="96" t="e">
        <f>IF(M57&lt;=servi6,((AU56*K28*($E$12-$M57+1))/$M57),IF(servi6&lt;$M57,((AU56*K28*($E$12-$M57+1))/servi6),0))</f>
        <v>#VALUE!</v>
      </c>
      <c r="AV57" s="79">
        <f>IF($M57&lt;servi6,((K28)^$M57)*(FACT($E$12))/(FACT($M57)*FACT($E$12-$M57)),0)</f>
        <v>0</v>
      </c>
      <c r="AW57" s="79">
        <f t="shared" si="58"/>
        <v>0</v>
      </c>
      <c r="AX57" s="79" t="e">
        <f t="shared" si="50"/>
        <v>#VALUE!</v>
      </c>
      <c r="AY57" s="97" t="e">
        <f t="shared" si="51"/>
        <v>#VALUE!</v>
      </c>
    </row>
    <row r="58" spans="4:51" s="49" customFormat="1" ht="10.5" customHeight="1" x14ac:dyDescent="0.2">
      <c r="D58" s="82"/>
      <c r="J58" s="50"/>
      <c r="K58" s="51"/>
      <c r="M58" s="75">
        <v>50</v>
      </c>
      <c r="N58" s="78" t="str">
        <f>IF(E12&lt;&gt;"M",Q58,"")</f>
        <v/>
      </c>
      <c r="O58" s="78" t="e">
        <f t="shared" si="35"/>
        <v>#VALUE!</v>
      </c>
      <c r="Q58" s="96" t="e">
        <f>IF(M58&lt;=$E$8,((Q57*K28*($E$12-$M58+1))/$M58),IF($E$8&lt;$M58,((Q57*K28*($E$12-$M58+1))/$E$8),0))</f>
        <v>#VALUE!</v>
      </c>
      <c r="R58" s="79">
        <f>IF($M58&lt;$E$8,((K28)^$M58)*(FACT($E$12))/(FACT($M58)*FACT($E$12-$M58)),0)</f>
        <v>0</v>
      </c>
      <c r="S58" s="79">
        <f t="shared" si="52"/>
        <v>0</v>
      </c>
      <c r="T58" s="79" t="e">
        <f t="shared" si="36"/>
        <v>#VALUE!</v>
      </c>
      <c r="U58" s="97" t="e">
        <f t="shared" si="42"/>
        <v>#VALUE!</v>
      </c>
      <c r="V58" s="96" t="e">
        <f>IF(M58&lt;=servi1,((V57*K28*($E$12-$M58+1))/$M58),IF(servi1&lt;$M58,((V57*K28*($E$12-$M58+1))/servi1),0))</f>
        <v>#VALUE!</v>
      </c>
      <c r="W58" s="79">
        <f>IF($M58&lt;servi1,((K28)^$M58)*(FACT($E$12))/(FACT($M58)*FACT($E$12-$M58)),0)</f>
        <v>0</v>
      </c>
      <c r="X58" s="79">
        <f t="shared" si="53"/>
        <v>0</v>
      </c>
      <c r="Y58" s="79" t="e">
        <f>IF(AND($M58&gt;=servi1,$M58&lt;=$E$12),(((K28^($M58))*FACT($E$12))/((FACT(servi1))*(FACT($E$12-$M58))*(servi1^($M58-servi1)))),0)</f>
        <v>#VALUE!</v>
      </c>
      <c r="Z58" s="97" t="e">
        <f t="shared" si="43"/>
        <v>#VALUE!</v>
      </c>
      <c r="AA58" s="96" t="e">
        <f>IF(M58&lt;=servi2,((AA57*K28*($E$12-$M58+1))/$M58),IF(servi2&lt;$M58,((AA57*K28*($E$12-$M58+1))/servi2),0))</f>
        <v>#VALUE!</v>
      </c>
      <c r="AB58" s="79">
        <f>IF($M58&lt;servi2,((K28)^$M58)*(FACT($E$12))/(FACT($M58)*FACT($E$12-$M58)),0)</f>
        <v>0</v>
      </c>
      <c r="AC58" s="79">
        <f t="shared" si="54"/>
        <v>0</v>
      </c>
      <c r="AD58" s="79" t="e">
        <f>IF(AND($M58&gt;=servi2,$M58&lt;=$E$12),(((K28^($M58))*FACT($E$12))/((FACT(servi2))*(FACT($E$12-$M58))*(servi2^($M58-servi2)))),0)</f>
        <v>#VALUE!</v>
      </c>
      <c r="AE58" s="97" t="e">
        <f t="shared" si="44"/>
        <v>#VALUE!</v>
      </c>
      <c r="AF58" s="96" t="e">
        <f>IF(M58&lt;=servi3,((AF57*K28*($E$12-$M58+1))/$M58),IF(servi3&lt;$M58,((AF57*K28*($E$12-$M58+1))/servi3),0))</f>
        <v>#VALUE!</v>
      </c>
      <c r="AG58" s="79">
        <f>IF($M58&lt;servi3,((K28)^$M58)*(FACT($E$12))/(FACT($M58)*FACT($E$12-$M58)),0)</f>
        <v>0</v>
      </c>
      <c r="AH58" s="79">
        <f t="shared" si="55"/>
        <v>0</v>
      </c>
      <c r="AI58" s="79" t="e">
        <f>IF(AND($M58&gt;=servi3,$M58&lt;=$E$12),(((K28^($M58))*FACT($E$12))/((FACT(servi3))*(FACT($E$12-$M58))*(servi3^($M58-servi3)))),0)</f>
        <v>#VALUE!</v>
      </c>
      <c r="AJ58" s="97" t="e">
        <f t="shared" si="45"/>
        <v>#VALUE!</v>
      </c>
      <c r="AK58" s="96" t="e">
        <f>IF(M58&lt;=servi4,((AK57*K28*($E$12-$M58+1))/$M58),IF(servi4&lt;$M58,((AK57*K28*($E$12-$M58+1))/servi4),0))</f>
        <v>#VALUE!</v>
      </c>
      <c r="AL58" s="79">
        <f>IF($M58&lt;servi4,((K28)^$M58)*(FACT($E$12))/(FACT($M58)*FACT($E$12-$M58)),0)</f>
        <v>0</v>
      </c>
      <c r="AM58" s="79">
        <f t="shared" si="56"/>
        <v>0</v>
      </c>
      <c r="AN58" s="79" t="e">
        <f t="shared" si="46"/>
        <v>#VALUE!</v>
      </c>
      <c r="AO58" s="97" t="e">
        <f t="shared" si="47"/>
        <v>#VALUE!</v>
      </c>
      <c r="AP58" s="96" t="e">
        <f>IF(M58&lt;=servi5,((AP57*K28*($E$12-$M58+1))/$M58),IF(servi5&lt;$M58,((AP57*K28*($E$12-$M58+1))/servi5),0))</f>
        <v>#VALUE!</v>
      </c>
      <c r="AQ58" s="79">
        <f>IF($M58&lt;servi5,((K28)^$M58)*(FACT($E$12))/(FACT($M58)*FACT($E$12-$M58)),0)</f>
        <v>0</v>
      </c>
      <c r="AR58" s="79">
        <f t="shared" si="57"/>
        <v>0</v>
      </c>
      <c r="AS58" s="79" t="e">
        <f t="shared" si="48"/>
        <v>#VALUE!</v>
      </c>
      <c r="AT58" s="97" t="e">
        <f t="shared" si="49"/>
        <v>#VALUE!</v>
      </c>
      <c r="AU58" s="96" t="e">
        <f>IF(M58&lt;=servi6,((AU57*K28*($E$12-$M58+1))/$M58),IF(servi6&lt;$M58,((AU57*K28*($E$12-$M58+1))/servi6),0))</f>
        <v>#VALUE!</v>
      </c>
      <c r="AV58" s="79">
        <f>IF($M58&lt;servi6,((K28)^$M58)*(FACT($E$12))/(FACT($M58)*FACT($E$12-$M58)),0)</f>
        <v>0</v>
      </c>
      <c r="AW58" s="79">
        <f t="shared" si="58"/>
        <v>0</v>
      </c>
      <c r="AX58" s="79" t="e">
        <f t="shared" si="50"/>
        <v>#VALUE!</v>
      </c>
      <c r="AY58" s="97" t="e">
        <f t="shared" si="51"/>
        <v>#VALUE!</v>
      </c>
    </row>
    <row r="59" spans="4:51" s="49" customFormat="1" ht="10.5" customHeight="1" x14ac:dyDescent="0.2">
      <c r="D59" s="82"/>
      <c r="J59" s="50"/>
      <c r="K59" s="51"/>
      <c r="M59" s="75">
        <v>51</v>
      </c>
      <c r="N59" s="78" t="str">
        <f>IF(E12&lt;&gt;"M",Q59,"")</f>
        <v/>
      </c>
      <c r="O59" s="78" t="e">
        <f t="shared" si="35"/>
        <v>#VALUE!</v>
      </c>
      <c r="Q59" s="96" t="e">
        <f>IF(M59&lt;=$E$8,((Q58*K28*($E$12-$M59+1))/$M59),IF($E$8&lt;$M59,((Q58*K28*($E$12-$M59+1))/$E$8),0))</f>
        <v>#VALUE!</v>
      </c>
      <c r="R59" s="79">
        <f>IF($M59&lt;$E$8,((K28)^$M59)*(FACT($E$12))/(FACT($M59)*FACT($E$12-$M59)),0)</f>
        <v>0</v>
      </c>
      <c r="S59" s="79">
        <f t="shared" si="52"/>
        <v>0</v>
      </c>
      <c r="T59" s="79" t="e">
        <f t="shared" si="36"/>
        <v>#VALUE!</v>
      </c>
      <c r="U59" s="97" t="e">
        <f t="shared" si="42"/>
        <v>#VALUE!</v>
      </c>
      <c r="V59" s="96" t="e">
        <f>IF(M59&lt;=servi1,((V58*K28*($E$12-$M59+1))/$M59),IF(servi1&lt;$M59,((V58*K28*($E$12-$M59+1))/servi1),0))</f>
        <v>#VALUE!</v>
      </c>
      <c r="W59" s="79">
        <f>IF($M59&lt;servi1,((K28)^$M59)*(FACT($E$12))/(FACT($M59)*FACT($E$12-$M59)),0)</f>
        <v>0</v>
      </c>
      <c r="X59" s="79">
        <f t="shared" si="53"/>
        <v>0</v>
      </c>
      <c r="Y59" s="79" t="e">
        <f>IF(AND($M59&gt;=servi1,$M59&lt;=$E$12),(((K28^($M59))*FACT($E$12))/((FACT(servi1))*(FACT($E$12-$M59))*(servi1^($M59-servi1)))),0)</f>
        <v>#VALUE!</v>
      </c>
      <c r="Z59" s="97" t="e">
        <f t="shared" si="43"/>
        <v>#VALUE!</v>
      </c>
      <c r="AA59" s="96" t="e">
        <f>IF(M59&lt;=servi2,((AA58*K28*($E$12-$M59+1))/$M59),IF(servi2&lt;$M59,((AA58*K28*($E$12-$M59+1))/servi2),0))</f>
        <v>#VALUE!</v>
      </c>
      <c r="AB59" s="79">
        <f>IF($M59&lt;servi2,((K28)^$M59)*(FACT($E$12))/(FACT($M59)*FACT($E$12-$M59)),0)</f>
        <v>0</v>
      </c>
      <c r="AC59" s="79">
        <f t="shared" si="54"/>
        <v>0</v>
      </c>
      <c r="AD59" s="79" t="e">
        <f>IF(AND($M59&gt;=servi2,$M59&lt;=$E$12),(((K28^($M59))*FACT($E$12))/((FACT(servi2))*(FACT($E$12-$M59))*(servi2^($M59-servi2)))),0)</f>
        <v>#VALUE!</v>
      </c>
      <c r="AE59" s="97" t="e">
        <f t="shared" si="44"/>
        <v>#VALUE!</v>
      </c>
      <c r="AF59" s="96" t="e">
        <f>IF(M59&lt;=servi3,((AF58*K28*($E$12-$M59+1))/$M59),IF(servi3&lt;$M59,((AF58*K28*($E$12-$M59+1))/servi3),0))</f>
        <v>#VALUE!</v>
      </c>
      <c r="AG59" s="79">
        <f>IF($M59&lt;servi3,((K28)^$M59)*(FACT($E$12))/(FACT($M59)*FACT($E$12-$M59)),0)</f>
        <v>0</v>
      </c>
      <c r="AH59" s="79">
        <f t="shared" si="55"/>
        <v>0</v>
      </c>
      <c r="AI59" s="79" t="e">
        <f>IF(AND($M59&gt;=servi3,$M59&lt;=$E$12),(((K28^($M59))*FACT($E$12))/((FACT(servi3))*(FACT($E$12-$M59))*(servi3^($M59-servi3)))),0)</f>
        <v>#VALUE!</v>
      </c>
      <c r="AJ59" s="97" t="e">
        <f t="shared" si="45"/>
        <v>#VALUE!</v>
      </c>
      <c r="AK59" s="96" t="e">
        <f>IF(M59&lt;=servi4,((AK58*K28*($E$12-$M59+1))/$M59),IF(servi4&lt;$M59,((AK58*K28*($E$12-$M59+1))/servi4),0))</f>
        <v>#VALUE!</v>
      </c>
      <c r="AL59" s="79">
        <f>IF($M59&lt;servi4,((K28)^$M59)*(FACT($E$12))/(FACT($M59)*FACT($E$12-$M59)),0)</f>
        <v>0</v>
      </c>
      <c r="AM59" s="79">
        <f t="shared" si="56"/>
        <v>0</v>
      </c>
      <c r="AN59" s="79" t="e">
        <f t="shared" si="46"/>
        <v>#VALUE!</v>
      </c>
      <c r="AO59" s="97" t="e">
        <f t="shared" si="47"/>
        <v>#VALUE!</v>
      </c>
      <c r="AP59" s="96" t="e">
        <f>IF(M59&lt;=servi5,((AP58*K28*($E$12-$M59+1))/$M59),IF(servi5&lt;$M59,((AP58*K28*($E$12-$M59+1))/servi5),0))</f>
        <v>#VALUE!</v>
      </c>
      <c r="AQ59" s="79">
        <f>IF($M59&lt;servi5,((K28)^$M59)*(FACT($E$12))/(FACT($M59)*FACT($E$12-$M59)),0)</f>
        <v>0</v>
      </c>
      <c r="AR59" s="79">
        <f t="shared" si="57"/>
        <v>0</v>
      </c>
      <c r="AS59" s="79" t="e">
        <f t="shared" si="48"/>
        <v>#VALUE!</v>
      </c>
      <c r="AT59" s="97" t="e">
        <f t="shared" si="49"/>
        <v>#VALUE!</v>
      </c>
      <c r="AU59" s="96" t="e">
        <f>IF(M59&lt;=servi6,((AU58*K28*($E$12-$M59+1))/$M59),IF(servi6&lt;$M59,((AU58*K28*($E$12-$M59+1))/servi6),0))</f>
        <v>#VALUE!</v>
      </c>
      <c r="AV59" s="79">
        <f>IF($M59&lt;servi6,((K28)^$M59)*(FACT($E$12))/(FACT($M59)*FACT($E$12-$M59)),0)</f>
        <v>0</v>
      </c>
      <c r="AW59" s="79">
        <f t="shared" si="58"/>
        <v>0</v>
      </c>
      <c r="AX59" s="79" t="e">
        <f t="shared" si="50"/>
        <v>#VALUE!</v>
      </c>
      <c r="AY59" s="97" t="e">
        <f t="shared" si="51"/>
        <v>#VALUE!</v>
      </c>
    </row>
    <row r="60" spans="4:51" s="49" customFormat="1" ht="10.5" customHeight="1" x14ac:dyDescent="0.2">
      <c r="D60" s="82"/>
      <c r="J60" s="50"/>
      <c r="K60" s="51"/>
      <c r="M60" s="75">
        <v>52</v>
      </c>
      <c r="N60" s="78" t="str">
        <f>IF(E12&lt;&gt;"M",Q60,"")</f>
        <v/>
      </c>
      <c r="O60" s="78" t="e">
        <f t="shared" si="35"/>
        <v>#VALUE!</v>
      </c>
      <c r="Q60" s="96" t="e">
        <f>IF(M60&lt;=$E$8,((Q59*K28*($E$12-$M60+1))/$M60),IF($E$8&lt;$M60,((Q59*K28*($E$12-$M60+1))/$E$8),0))</f>
        <v>#VALUE!</v>
      </c>
      <c r="R60" s="79">
        <f>IF($M60&lt;$E$8,((K28)^$M60)*(FACT($E$12))/(FACT($M60)*FACT($E$12-$M60)),0)</f>
        <v>0</v>
      </c>
      <c r="S60" s="79">
        <f t="shared" si="52"/>
        <v>0</v>
      </c>
      <c r="T60" s="79" t="e">
        <f t="shared" si="36"/>
        <v>#VALUE!</v>
      </c>
      <c r="U60" s="97" t="e">
        <f t="shared" si="42"/>
        <v>#VALUE!</v>
      </c>
      <c r="V60" s="96" t="e">
        <f>IF(M60&lt;=servi1,((V59*K28*($E$12-$M60+1))/$M60),IF(servi1&lt;$M60,((V59*K28*($E$12-$M60+1))/servi1),0))</f>
        <v>#VALUE!</v>
      </c>
      <c r="W60" s="79">
        <f>IF($M60&lt;servi1,((K28)^$M60)*(FACT($E$12))/(FACT($M60)*FACT($E$12-$M60)),0)</f>
        <v>0</v>
      </c>
      <c r="X60" s="79">
        <f t="shared" si="53"/>
        <v>0</v>
      </c>
      <c r="Y60" s="79" t="e">
        <f>IF(AND($M60&gt;=servi1,$M60&lt;=$E$12),(((K28^($M60))*FACT($E$12))/((FACT(servi1))*(FACT($E$12-$M60))*(servi1^($M60-servi1)))),0)</f>
        <v>#VALUE!</v>
      </c>
      <c r="Z60" s="97" t="e">
        <f t="shared" si="43"/>
        <v>#VALUE!</v>
      </c>
      <c r="AA60" s="96" t="e">
        <f>IF(M60&lt;=servi2,((AA59*K28*($E$12-$M60+1))/$M60),IF(servi2&lt;$M60,((AA59*K28*($E$12-$M60+1))/servi2),0))</f>
        <v>#VALUE!</v>
      </c>
      <c r="AB60" s="79">
        <f>IF($M60&lt;servi2,((K28)^$M60)*(FACT($E$12))/(FACT($M60)*FACT($E$12-$M60)),0)</f>
        <v>0</v>
      </c>
      <c r="AC60" s="79">
        <f t="shared" si="54"/>
        <v>0</v>
      </c>
      <c r="AD60" s="79" t="e">
        <f>IF(AND($M60&gt;=servi2,$M60&lt;=$E$12),(((K28^($M60))*FACT($E$12))/((FACT(servi2))*(FACT($E$12-$M60))*(servi2^($M60-servi2)))),0)</f>
        <v>#VALUE!</v>
      </c>
      <c r="AE60" s="97" t="e">
        <f t="shared" si="44"/>
        <v>#VALUE!</v>
      </c>
      <c r="AF60" s="96" t="e">
        <f>IF(M60&lt;=servi3,((AF59*K28*($E$12-$M60+1))/$M60),IF(servi3&lt;$M60,((AF59*K28*($E$12-$M60+1))/servi3),0))</f>
        <v>#VALUE!</v>
      </c>
      <c r="AG60" s="79">
        <f>IF($M60&lt;servi3,((K28)^$M60)*(FACT($E$12))/(FACT($M60)*FACT($E$12-$M60)),0)</f>
        <v>0</v>
      </c>
      <c r="AH60" s="79">
        <f t="shared" si="55"/>
        <v>0</v>
      </c>
      <c r="AI60" s="79" t="e">
        <f>IF(AND($M60&gt;=servi3,$M60&lt;=$E$12),(((K28^($M60))*FACT($E$12))/((FACT(servi3))*(FACT($E$12-$M60))*(servi3^($M60-servi3)))),0)</f>
        <v>#VALUE!</v>
      </c>
      <c r="AJ60" s="97" t="e">
        <f t="shared" si="45"/>
        <v>#VALUE!</v>
      </c>
      <c r="AK60" s="96" t="e">
        <f>IF(M60&lt;=servi4,((AK59*K28*($E$12-$M60+1))/$M60),IF(servi4&lt;$M60,((AK59*K28*($E$12-$M60+1))/servi4),0))</f>
        <v>#VALUE!</v>
      </c>
      <c r="AL60" s="79">
        <f>IF($M60&lt;servi4,((K28)^$M60)*(FACT($E$12))/(FACT($M60)*FACT($E$12-$M60)),0)</f>
        <v>0</v>
      </c>
      <c r="AM60" s="79">
        <f t="shared" si="56"/>
        <v>0</v>
      </c>
      <c r="AN60" s="79" t="e">
        <f t="shared" si="46"/>
        <v>#VALUE!</v>
      </c>
      <c r="AO60" s="97" t="e">
        <f t="shared" si="47"/>
        <v>#VALUE!</v>
      </c>
      <c r="AP60" s="96" t="e">
        <f>IF(M60&lt;=servi5,((AP59*K28*($E$12-$M60+1))/$M60),IF(servi5&lt;$M60,((AP59*K28*($E$12-$M60+1))/servi5),0))</f>
        <v>#VALUE!</v>
      </c>
      <c r="AQ60" s="79">
        <f>IF($M60&lt;servi5,((K28)^$M60)*(FACT($E$12))/(FACT($M60)*FACT($E$12-$M60)),0)</f>
        <v>0</v>
      </c>
      <c r="AR60" s="79">
        <f t="shared" si="57"/>
        <v>0</v>
      </c>
      <c r="AS60" s="79" t="e">
        <f t="shared" si="48"/>
        <v>#VALUE!</v>
      </c>
      <c r="AT60" s="97" t="e">
        <f t="shared" si="49"/>
        <v>#VALUE!</v>
      </c>
      <c r="AU60" s="96" t="e">
        <f>IF(M60&lt;=servi6,((AU59*K28*($E$12-$M60+1))/$M60),IF(servi6&lt;$M60,((AU59*K28*($E$12-$M60+1))/servi6),0))</f>
        <v>#VALUE!</v>
      </c>
      <c r="AV60" s="79">
        <f>IF($M60&lt;servi6,((K28)^$M60)*(FACT($E$12))/(FACT($M60)*FACT($E$12-$M60)),0)</f>
        <v>0</v>
      </c>
      <c r="AW60" s="79">
        <f t="shared" si="58"/>
        <v>0</v>
      </c>
      <c r="AX60" s="79" t="e">
        <f t="shared" si="50"/>
        <v>#VALUE!</v>
      </c>
      <c r="AY60" s="97" t="e">
        <f t="shared" si="51"/>
        <v>#VALUE!</v>
      </c>
    </row>
    <row r="61" spans="4:51" s="49" customFormat="1" ht="10.5" customHeight="1" x14ac:dyDescent="0.2">
      <c r="D61" s="82"/>
      <c r="J61" s="50"/>
      <c r="K61" s="51"/>
      <c r="M61" s="75">
        <v>53</v>
      </c>
      <c r="N61" s="78" t="str">
        <f>IF(E12&lt;&gt;"M",Q61,"")</f>
        <v/>
      </c>
      <c r="O61" s="78" t="e">
        <f t="shared" si="35"/>
        <v>#VALUE!</v>
      </c>
      <c r="Q61" s="96" t="e">
        <f>IF(M61&lt;=$E$8,((Q60*K28*($E$12-$M61+1))/$M61),IF($E$8&lt;$M61,((Q60*K28*($E$12-$M61+1))/$E$8),0))</f>
        <v>#VALUE!</v>
      </c>
      <c r="R61" s="79">
        <f>IF($M61&lt;$E$8,((K28)^$M61)*(FACT($E$12))/(FACT($M61)*FACT($E$12-$M61)),0)</f>
        <v>0</v>
      </c>
      <c r="S61" s="79">
        <f t="shared" si="52"/>
        <v>0</v>
      </c>
      <c r="T61" s="79" t="e">
        <f t="shared" si="36"/>
        <v>#VALUE!</v>
      </c>
      <c r="U61" s="97" t="e">
        <f t="shared" si="42"/>
        <v>#VALUE!</v>
      </c>
      <c r="V61" s="96" t="e">
        <f>IF(M61&lt;=servi1,((V60*K28*($E$12-$M61+1))/$M61),IF(servi1&lt;$M61,((V60*K28*($E$12-$M61+1))/servi1),0))</f>
        <v>#VALUE!</v>
      </c>
      <c r="W61" s="79">
        <f>IF($M61&lt;servi1,((K28)^$M61)*(FACT($E$12))/(FACT($M61)*FACT($E$12-$M61)),0)</f>
        <v>0</v>
      </c>
      <c r="X61" s="79">
        <f t="shared" si="53"/>
        <v>0</v>
      </c>
      <c r="Y61" s="79" t="e">
        <f>IF(AND($M61&gt;=servi1,$M61&lt;=$E$12),(((K28^($M61))*FACT($E$12))/((FACT(servi1))*(FACT($E$12-$M61))*(servi1^($M61-servi1)))),0)</f>
        <v>#VALUE!</v>
      </c>
      <c r="Z61" s="97" t="e">
        <f t="shared" si="43"/>
        <v>#VALUE!</v>
      </c>
      <c r="AA61" s="96" t="e">
        <f>IF(M61&lt;=servi2,((AA60*K28*($E$12-$M61+1))/$M61),IF(servi2&lt;$M61,((AA60*K28*($E$12-$M61+1))/servi2),0))</f>
        <v>#VALUE!</v>
      </c>
      <c r="AB61" s="79">
        <f>IF($M61&lt;servi2,((K28)^$M61)*(FACT($E$12))/(FACT($M61)*FACT($E$12-$M61)),0)</f>
        <v>0</v>
      </c>
      <c r="AC61" s="79">
        <f t="shared" si="54"/>
        <v>0</v>
      </c>
      <c r="AD61" s="79" t="e">
        <f>IF(AND($M61&gt;=servi2,$M61&lt;=$E$12),(((K28^($M61))*FACT($E$12))/((FACT(servi2))*(FACT($E$12-$M61))*(servi2^($M61-servi2)))),0)</f>
        <v>#VALUE!</v>
      </c>
      <c r="AE61" s="97" t="e">
        <f t="shared" si="44"/>
        <v>#VALUE!</v>
      </c>
      <c r="AF61" s="96" t="e">
        <f>IF(M61&lt;=servi3,((AF60*K28*($E$12-$M61+1))/$M61),IF(servi3&lt;$M61,((AF60*K28*($E$12-$M61+1))/servi3),0))</f>
        <v>#VALUE!</v>
      </c>
      <c r="AG61" s="79">
        <f>IF($M61&lt;servi3,((K28)^$M61)*(FACT($E$12))/(FACT($M61)*FACT($E$12-$M61)),0)</f>
        <v>0</v>
      </c>
      <c r="AH61" s="79">
        <f t="shared" si="55"/>
        <v>0</v>
      </c>
      <c r="AI61" s="79" t="e">
        <f>IF(AND($M61&gt;=servi3,$M61&lt;=$E$12),(((K28^($M61))*FACT($E$12))/((FACT(servi3))*(FACT($E$12-$M61))*(servi3^($M61-servi3)))),0)</f>
        <v>#VALUE!</v>
      </c>
      <c r="AJ61" s="97" t="e">
        <f t="shared" si="45"/>
        <v>#VALUE!</v>
      </c>
      <c r="AK61" s="96" t="e">
        <f>IF(M61&lt;=servi4,((AK60*K28*($E$12-$M61+1))/$M61),IF(servi4&lt;$M61,((AK60*K28*($E$12-$M61+1))/servi4),0))</f>
        <v>#VALUE!</v>
      </c>
      <c r="AL61" s="79">
        <f>IF($M61&lt;servi4,((K28)^$M61)*(FACT($E$12))/(FACT($M61)*FACT($E$12-$M61)),0)</f>
        <v>0</v>
      </c>
      <c r="AM61" s="79">
        <f t="shared" si="56"/>
        <v>0</v>
      </c>
      <c r="AN61" s="79" t="e">
        <f t="shared" si="46"/>
        <v>#VALUE!</v>
      </c>
      <c r="AO61" s="97" t="e">
        <f t="shared" si="47"/>
        <v>#VALUE!</v>
      </c>
      <c r="AP61" s="96" t="e">
        <f>IF(M61&lt;=servi5,((AP60*K28*($E$12-$M61+1))/$M61),IF(servi5&lt;$M61,((AP60*K28*($E$12-$M61+1))/servi5),0))</f>
        <v>#VALUE!</v>
      </c>
      <c r="AQ61" s="79">
        <f>IF($M61&lt;servi5,((K28)^$M61)*(FACT($E$12))/(FACT($M61)*FACT($E$12-$M61)),0)</f>
        <v>0</v>
      </c>
      <c r="AR61" s="79">
        <f t="shared" si="57"/>
        <v>0</v>
      </c>
      <c r="AS61" s="79" t="e">
        <f t="shared" si="48"/>
        <v>#VALUE!</v>
      </c>
      <c r="AT61" s="97" t="e">
        <f t="shared" si="49"/>
        <v>#VALUE!</v>
      </c>
      <c r="AU61" s="96" t="e">
        <f>IF(M61&lt;=servi6,((AU60*K28*($E$12-$M61+1))/$M61),IF(servi6&lt;$M61,((AU60*K28*($E$12-$M61+1))/servi6),0))</f>
        <v>#VALUE!</v>
      </c>
      <c r="AV61" s="79">
        <f>IF($M61&lt;servi6,((K28)^$M61)*(FACT($E$12))/(FACT($M61)*FACT($E$12-$M61)),0)</f>
        <v>0</v>
      </c>
      <c r="AW61" s="79">
        <f t="shared" si="58"/>
        <v>0</v>
      </c>
      <c r="AX61" s="79" t="e">
        <f t="shared" si="50"/>
        <v>#VALUE!</v>
      </c>
      <c r="AY61" s="97" t="e">
        <f t="shared" si="51"/>
        <v>#VALUE!</v>
      </c>
    </row>
    <row r="62" spans="4:51" s="49" customFormat="1" ht="10.5" customHeight="1" x14ac:dyDescent="0.2">
      <c r="D62" s="82"/>
      <c r="J62" s="50"/>
      <c r="K62" s="51"/>
      <c r="M62" s="75">
        <v>54</v>
      </c>
      <c r="N62" s="78" t="str">
        <f>IF(E12&lt;&gt;"M",Q62,"")</f>
        <v/>
      </c>
      <c r="O62" s="78" t="e">
        <f t="shared" si="35"/>
        <v>#VALUE!</v>
      </c>
      <c r="Q62" s="96" t="e">
        <f>IF(M62&lt;=$E$8,((Q61*K28*($E$12-$M62+1))/$M62),IF($E$8&lt;$M62,((Q61*K28*($E$12-$M62+1))/$E$8),0))</f>
        <v>#VALUE!</v>
      </c>
      <c r="R62" s="79">
        <f>IF($M62&lt;$E$8,((K28)^$M62)*(FACT($E$12))/(FACT($M62)*FACT($E$12-$M62)),0)</f>
        <v>0</v>
      </c>
      <c r="S62" s="79">
        <f t="shared" si="52"/>
        <v>0</v>
      </c>
      <c r="T62" s="79" t="e">
        <f t="shared" si="36"/>
        <v>#VALUE!</v>
      </c>
      <c r="U62" s="97" t="e">
        <f t="shared" si="42"/>
        <v>#VALUE!</v>
      </c>
      <c r="V62" s="96" t="e">
        <f>IF(M62&lt;=servi1,((V61*K28*($E$12-$M62+1))/$M62),IF(servi1&lt;$M62,((V61*K28*($E$12-$M62+1))/servi1),0))</f>
        <v>#VALUE!</v>
      </c>
      <c r="W62" s="79">
        <f>IF($M62&lt;servi1,((K28)^$M62)*(FACT($E$12))/(FACT($M62)*FACT($E$12-$M62)),0)</f>
        <v>0</v>
      </c>
      <c r="X62" s="79">
        <f t="shared" si="53"/>
        <v>0</v>
      </c>
      <c r="Y62" s="79" t="e">
        <f>IF(AND($M62&gt;=servi1,$M62&lt;=$E$12),(((K28^($M62))*FACT($E$12))/((FACT(servi1))*(FACT($E$12-$M62))*(servi1^($M62-servi1)))),0)</f>
        <v>#VALUE!</v>
      </c>
      <c r="Z62" s="97" t="e">
        <f t="shared" si="43"/>
        <v>#VALUE!</v>
      </c>
      <c r="AA62" s="96" t="e">
        <f>IF(M62&lt;=servi2,((AA61*K28*($E$12-$M62+1))/$M62),IF(servi2&lt;$M62,((AA61*K28*($E$12-$M62+1))/servi2),0))</f>
        <v>#VALUE!</v>
      </c>
      <c r="AB62" s="79">
        <f>IF($M62&lt;servi2,((K28)^$M62)*(FACT($E$12))/(FACT($M62)*FACT($E$12-$M62)),0)</f>
        <v>0</v>
      </c>
      <c r="AC62" s="79">
        <f t="shared" si="54"/>
        <v>0</v>
      </c>
      <c r="AD62" s="79" t="e">
        <f>IF(AND($M62&gt;=servi2,$M62&lt;=$E$12),(((K28^($M62))*FACT($E$12))/((FACT(servi2))*(FACT($E$12-$M62))*(servi2^($M62-servi2)))),0)</f>
        <v>#VALUE!</v>
      </c>
      <c r="AE62" s="97" t="e">
        <f t="shared" si="44"/>
        <v>#VALUE!</v>
      </c>
      <c r="AF62" s="96" t="e">
        <f>IF(M62&lt;=servi3,((AF61*K28*($E$12-$M62+1))/$M62),IF(servi3&lt;$M62,((AF61*K28*($E$12-$M62+1))/servi3),0))</f>
        <v>#VALUE!</v>
      </c>
      <c r="AG62" s="79">
        <f>IF($M62&lt;servi3,((K28)^$M62)*(FACT($E$12))/(FACT($M62)*FACT($E$12-$M62)),0)</f>
        <v>0</v>
      </c>
      <c r="AH62" s="79">
        <f t="shared" si="55"/>
        <v>0</v>
      </c>
      <c r="AI62" s="79" t="e">
        <f>IF(AND($M62&gt;=servi3,$M62&lt;=$E$12),(((K28^($M62))*FACT($E$12))/((FACT(servi3))*(FACT($E$12-$M62))*(servi3^($M62-servi3)))),0)</f>
        <v>#VALUE!</v>
      </c>
      <c r="AJ62" s="97" t="e">
        <f t="shared" si="45"/>
        <v>#VALUE!</v>
      </c>
      <c r="AK62" s="96" t="e">
        <f>IF(M62&lt;=servi4,((AK61*K28*($E$12-$M62+1))/$M62),IF(servi4&lt;$M62,((AK61*K28*($E$12-$M62+1))/servi4),0))</f>
        <v>#VALUE!</v>
      </c>
      <c r="AL62" s="79">
        <f>IF($M62&lt;servi4,((K28)^$M62)*(FACT($E$12))/(FACT($M62)*FACT($E$12-$M62)),0)</f>
        <v>0</v>
      </c>
      <c r="AM62" s="79">
        <f t="shared" si="56"/>
        <v>0</v>
      </c>
      <c r="AN62" s="79" t="e">
        <f t="shared" si="46"/>
        <v>#VALUE!</v>
      </c>
      <c r="AO62" s="97" t="e">
        <f t="shared" si="47"/>
        <v>#VALUE!</v>
      </c>
      <c r="AP62" s="96" t="e">
        <f>IF(M62&lt;=servi5,((AP61*K28*($E$12-$M62+1))/$M62),IF(servi5&lt;$M62,((AP61*K28*($E$12-$M62+1))/servi5),0))</f>
        <v>#VALUE!</v>
      </c>
      <c r="AQ62" s="79">
        <f>IF($M62&lt;servi5,((K28)^$M62)*(FACT($E$12))/(FACT($M62)*FACT($E$12-$M62)),0)</f>
        <v>0</v>
      </c>
      <c r="AR62" s="79">
        <f t="shared" si="57"/>
        <v>0</v>
      </c>
      <c r="AS62" s="79" t="e">
        <f t="shared" si="48"/>
        <v>#VALUE!</v>
      </c>
      <c r="AT62" s="97" t="e">
        <f t="shared" si="49"/>
        <v>#VALUE!</v>
      </c>
      <c r="AU62" s="96" t="e">
        <f>IF(M62&lt;=servi6,((AU61*K28*($E$12-$M62+1))/$M62),IF(servi6&lt;$M62,((AU61*K28*($E$12-$M62+1))/servi6),0))</f>
        <v>#VALUE!</v>
      </c>
      <c r="AV62" s="79">
        <f>IF($M62&lt;servi6,((K28)^$M62)*(FACT($E$12))/(FACT($M62)*FACT($E$12-$M62)),0)</f>
        <v>0</v>
      </c>
      <c r="AW62" s="79">
        <f t="shared" si="58"/>
        <v>0</v>
      </c>
      <c r="AX62" s="79" t="e">
        <f t="shared" si="50"/>
        <v>#VALUE!</v>
      </c>
      <c r="AY62" s="97" t="e">
        <f t="shared" si="51"/>
        <v>#VALUE!</v>
      </c>
    </row>
    <row r="63" spans="4:51" s="49" customFormat="1" ht="10.5" customHeight="1" x14ac:dyDescent="0.2">
      <c r="D63" s="82"/>
      <c r="J63" s="50"/>
      <c r="K63" s="51"/>
      <c r="M63" s="75">
        <v>55</v>
      </c>
      <c r="N63" s="78" t="str">
        <f>IF(E12&lt;&gt;"M",Q63,"")</f>
        <v/>
      </c>
      <c r="O63" s="78" t="e">
        <f t="shared" si="35"/>
        <v>#VALUE!</v>
      </c>
      <c r="Q63" s="96" t="e">
        <f>IF(M63&lt;=$E$8,((Q62*K28*($E$12-$M63+1))/$M63),IF($E$8&lt;$M63,((Q62*K28*($E$12-$M63+1))/$E$8),0))</f>
        <v>#VALUE!</v>
      </c>
      <c r="R63" s="79">
        <f>IF($M63&lt;$E$8,((K28)^$M63)*(FACT($E$12))/(FACT($M63)*FACT($E$12-$M63)),0)</f>
        <v>0</v>
      </c>
      <c r="S63" s="79">
        <f t="shared" si="52"/>
        <v>0</v>
      </c>
      <c r="T63" s="79" t="e">
        <f t="shared" si="36"/>
        <v>#VALUE!</v>
      </c>
      <c r="U63" s="97" t="e">
        <f t="shared" si="42"/>
        <v>#VALUE!</v>
      </c>
      <c r="V63" s="96" t="e">
        <f>IF(M63&lt;=servi1,((V62*K28*($E$12-$M63+1))/$M63),IF(servi1&lt;$M63,((V62*K28*($E$12-$M63+1))/servi1),0))</f>
        <v>#VALUE!</v>
      </c>
      <c r="W63" s="79">
        <f>IF($M63&lt;servi1,((K28)^$M63)*(FACT($E$12))/(FACT($M63)*FACT($E$12-$M63)),0)</f>
        <v>0</v>
      </c>
      <c r="X63" s="79">
        <f t="shared" si="53"/>
        <v>0</v>
      </c>
      <c r="Y63" s="79" t="e">
        <f>IF(AND($M63&gt;=servi1,$M63&lt;=$E$12),(((K28^($M63))*FACT($E$12))/((FACT(servi1))*(FACT($E$12-$M63))*(servi1^($M63-servi1)))),0)</f>
        <v>#VALUE!</v>
      </c>
      <c r="Z63" s="97" t="e">
        <f t="shared" si="43"/>
        <v>#VALUE!</v>
      </c>
      <c r="AA63" s="96" t="e">
        <f>IF(M63&lt;=servi2,((AA62*K28*($E$12-$M63+1))/$M63),IF(servi2&lt;$M63,((AA62*K28*($E$12-$M63+1))/servi2),0))</f>
        <v>#VALUE!</v>
      </c>
      <c r="AB63" s="79">
        <f>IF($M63&lt;servi2,((K28)^$M63)*(FACT($E$12))/(FACT($M63)*FACT($E$12-$M63)),0)</f>
        <v>0</v>
      </c>
      <c r="AC63" s="79">
        <f t="shared" si="54"/>
        <v>0</v>
      </c>
      <c r="AD63" s="79" t="e">
        <f>IF(AND($M63&gt;=servi2,$M63&lt;=$E$12),(((K28^($M63))*FACT($E$12))/((FACT(servi2))*(FACT($E$12-$M63))*(servi2^($M63-servi2)))),0)</f>
        <v>#VALUE!</v>
      </c>
      <c r="AE63" s="97" t="e">
        <f t="shared" si="44"/>
        <v>#VALUE!</v>
      </c>
      <c r="AF63" s="96" t="e">
        <f>IF(M63&lt;=servi3,((AF62*K28*($E$12-$M63+1))/$M63),IF(servi3&lt;$M63,((AF62*K28*($E$12-$M63+1))/servi3),0))</f>
        <v>#VALUE!</v>
      </c>
      <c r="AG63" s="79">
        <f>IF($M63&lt;servi3,((K28)^$M63)*(FACT($E$12))/(FACT($M63)*FACT($E$12-$M63)),0)</f>
        <v>0</v>
      </c>
      <c r="AH63" s="79">
        <f t="shared" si="55"/>
        <v>0</v>
      </c>
      <c r="AI63" s="79" t="e">
        <f>IF(AND($M63&gt;=servi3,$M63&lt;=$E$12),(((K28^($M63))*FACT($E$12))/((FACT(servi3))*(FACT($E$12-$M63))*(servi3^($M63-servi3)))),0)</f>
        <v>#VALUE!</v>
      </c>
      <c r="AJ63" s="97" t="e">
        <f t="shared" si="45"/>
        <v>#VALUE!</v>
      </c>
      <c r="AK63" s="96" t="e">
        <f>IF(M63&lt;=servi4,((AK62*K28*($E$12-$M63+1))/$M63),IF(servi4&lt;$M63,((AK62*K28*($E$12-$M63+1))/servi4),0))</f>
        <v>#VALUE!</v>
      </c>
      <c r="AL63" s="79">
        <f>IF($M63&lt;servi4,((K28)^$M63)*(FACT($E$12))/(FACT($M63)*FACT($E$12-$M63)),0)</f>
        <v>0</v>
      </c>
      <c r="AM63" s="79">
        <f t="shared" si="56"/>
        <v>0</v>
      </c>
      <c r="AN63" s="79" t="e">
        <f t="shared" si="46"/>
        <v>#VALUE!</v>
      </c>
      <c r="AO63" s="97" t="e">
        <f t="shared" si="47"/>
        <v>#VALUE!</v>
      </c>
      <c r="AP63" s="96" t="e">
        <f>IF(M63&lt;=servi5,((AP62*K28*($E$12-$M63+1))/$M63),IF(servi5&lt;$M63,((AP62*K28*($E$12-$M63+1))/servi5),0))</f>
        <v>#VALUE!</v>
      </c>
      <c r="AQ63" s="79">
        <f>IF($M63&lt;servi5,((K28)^$M63)*(FACT($E$12))/(FACT($M63)*FACT($E$12-$M63)),0)</f>
        <v>0</v>
      </c>
      <c r="AR63" s="79">
        <f t="shared" si="57"/>
        <v>0</v>
      </c>
      <c r="AS63" s="79" t="e">
        <f t="shared" si="48"/>
        <v>#VALUE!</v>
      </c>
      <c r="AT63" s="97" t="e">
        <f t="shared" si="49"/>
        <v>#VALUE!</v>
      </c>
      <c r="AU63" s="96" t="e">
        <f>IF(M63&lt;=servi6,((AU62*K28*($E$12-$M63+1))/$M63),IF(servi6&lt;$M63,((AU62*K28*($E$12-$M63+1))/servi6),0))</f>
        <v>#VALUE!</v>
      </c>
      <c r="AV63" s="79">
        <f>IF($M63&lt;servi6,((K28)^$M63)*(FACT($E$12))/(FACT($M63)*FACT($E$12-$M63)),0)</f>
        <v>0</v>
      </c>
      <c r="AW63" s="79">
        <f t="shared" si="58"/>
        <v>0</v>
      </c>
      <c r="AX63" s="79" t="e">
        <f t="shared" si="50"/>
        <v>#VALUE!</v>
      </c>
      <c r="AY63" s="97" t="e">
        <f t="shared" si="51"/>
        <v>#VALUE!</v>
      </c>
    </row>
    <row r="64" spans="4:51" s="49" customFormat="1" ht="10.5" customHeight="1" x14ac:dyDescent="0.2">
      <c r="D64" s="82"/>
      <c r="J64" s="50"/>
      <c r="K64" s="51"/>
      <c r="M64" s="75">
        <v>56</v>
      </c>
      <c r="N64" s="78" t="str">
        <f>IF(E12&lt;&gt;"M",Q64,"")</f>
        <v/>
      </c>
      <c r="O64" s="78" t="e">
        <f t="shared" si="35"/>
        <v>#VALUE!</v>
      </c>
      <c r="Q64" s="96" t="e">
        <f>IF(M64&lt;=$E$8,((Q63*K28*($E$12-$M64+1))/$M64),IF($E$8&lt;$M64,((Q63*K28*($E$12-$M64+1))/$E$8),0))</f>
        <v>#VALUE!</v>
      </c>
      <c r="R64" s="79">
        <f>IF($M64&lt;$E$8,((K28)^$M64)*(FACT($E$12))/(FACT($M64)*FACT($E$12-$M64)),0)</f>
        <v>0</v>
      </c>
      <c r="S64" s="79">
        <f t="shared" si="52"/>
        <v>0</v>
      </c>
      <c r="T64" s="79" t="e">
        <f t="shared" si="36"/>
        <v>#VALUE!</v>
      </c>
      <c r="U64" s="97" t="e">
        <f t="shared" si="42"/>
        <v>#VALUE!</v>
      </c>
      <c r="V64" s="96" t="e">
        <f>IF(M64&lt;=servi1,((V63*K28*($E$12-$M64+1))/$M64),IF(servi1&lt;$M64,((V63*K28*($E$12-$M64+1))/servi1),0))</f>
        <v>#VALUE!</v>
      </c>
      <c r="W64" s="79">
        <f>IF($M64&lt;servi1,((K28)^$M64)*(FACT($E$12))/(FACT($M64)*FACT($E$12-$M64)),0)</f>
        <v>0</v>
      </c>
      <c r="X64" s="79">
        <f t="shared" si="53"/>
        <v>0</v>
      </c>
      <c r="Y64" s="79" t="e">
        <f>IF(AND($M64&gt;=servi1,$M64&lt;=$E$12),(((K28^($M64))*FACT($E$12))/((FACT(servi1))*(FACT($E$12-$M64))*(servi1^($M64-servi1)))),0)</f>
        <v>#VALUE!</v>
      </c>
      <c r="Z64" s="97" t="e">
        <f t="shared" si="43"/>
        <v>#VALUE!</v>
      </c>
      <c r="AA64" s="96" t="e">
        <f>IF(M64&lt;=servi2,((AA63*K28*($E$12-$M64+1))/$M64),IF(servi2&lt;$M64,((AA63*K28*($E$12-$M64+1))/servi2),0))</f>
        <v>#VALUE!</v>
      </c>
      <c r="AB64" s="79">
        <f>IF($M64&lt;servi2,((K28)^$M64)*(FACT($E$12))/(FACT($M64)*FACT($E$12-$M64)),0)</f>
        <v>0</v>
      </c>
      <c r="AC64" s="79">
        <f t="shared" si="54"/>
        <v>0</v>
      </c>
      <c r="AD64" s="79" t="e">
        <f>IF(AND($M64&gt;=servi2,$M64&lt;=$E$12),(((K28^($M64))*FACT($E$12))/((FACT(servi2))*(FACT($E$12-$M64))*(servi2^($M64-servi2)))),0)</f>
        <v>#VALUE!</v>
      </c>
      <c r="AE64" s="97" t="e">
        <f t="shared" si="44"/>
        <v>#VALUE!</v>
      </c>
      <c r="AF64" s="96" t="e">
        <f>IF(M64&lt;=servi3,((AF63*K28*($E$12-$M64+1))/$M64),IF(servi3&lt;$M64,((AF63*K28*($E$12-$M64+1))/servi3),0))</f>
        <v>#VALUE!</v>
      </c>
      <c r="AG64" s="79">
        <f>IF($M64&lt;servi3,((K28)^$M64)*(FACT($E$12))/(FACT($M64)*FACT($E$12-$M64)),0)</f>
        <v>0</v>
      </c>
      <c r="AH64" s="79">
        <f t="shared" si="55"/>
        <v>0</v>
      </c>
      <c r="AI64" s="79" t="e">
        <f>IF(AND($M64&gt;=servi3,$M64&lt;=$E$12),(((K28^($M64))*FACT($E$12))/((FACT(servi3))*(FACT($E$12-$M64))*(servi3^($M64-servi3)))),0)</f>
        <v>#VALUE!</v>
      </c>
      <c r="AJ64" s="97" t="e">
        <f t="shared" si="45"/>
        <v>#VALUE!</v>
      </c>
      <c r="AK64" s="96" t="e">
        <f>IF(M64&lt;=servi4,((AK63*K28*($E$12-$M64+1))/$M64),IF(servi4&lt;$M64,((AK63*K28*($E$12-$M64+1))/servi4),0))</f>
        <v>#VALUE!</v>
      </c>
      <c r="AL64" s="79">
        <f>IF($M64&lt;servi4,((K28)^$M64)*(FACT($E$12))/(FACT($M64)*FACT($E$12-$M64)),0)</f>
        <v>0</v>
      </c>
      <c r="AM64" s="79">
        <f t="shared" si="56"/>
        <v>0</v>
      </c>
      <c r="AN64" s="79" t="e">
        <f t="shared" si="46"/>
        <v>#VALUE!</v>
      </c>
      <c r="AO64" s="97" t="e">
        <f t="shared" si="47"/>
        <v>#VALUE!</v>
      </c>
      <c r="AP64" s="96" t="e">
        <f>IF(M64&lt;=servi5,((AP63*K28*($E$12-$M64+1))/$M64),IF(servi5&lt;$M64,((AP63*K28*($E$12-$M64+1))/servi5),0))</f>
        <v>#VALUE!</v>
      </c>
      <c r="AQ64" s="79">
        <f>IF($M64&lt;servi5,((K28)^$M64)*(FACT($E$12))/(FACT($M64)*FACT($E$12-$M64)),0)</f>
        <v>0</v>
      </c>
      <c r="AR64" s="79">
        <f t="shared" si="57"/>
        <v>0</v>
      </c>
      <c r="AS64" s="79" t="e">
        <f t="shared" si="48"/>
        <v>#VALUE!</v>
      </c>
      <c r="AT64" s="97" t="e">
        <f t="shared" si="49"/>
        <v>#VALUE!</v>
      </c>
      <c r="AU64" s="96" t="e">
        <f>IF(M64&lt;=servi6,((AU63*K28*($E$12-$M64+1))/$M64),IF(servi6&lt;$M64,((AU63*K28*($E$12-$M64+1))/servi6),0))</f>
        <v>#VALUE!</v>
      </c>
      <c r="AV64" s="79">
        <f>IF($M64&lt;servi6,((K28)^$M64)*(FACT($E$12))/(FACT($M64)*FACT($E$12-$M64)),0)</f>
        <v>0</v>
      </c>
      <c r="AW64" s="79">
        <f t="shared" si="58"/>
        <v>0</v>
      </c>
      <c r="AX64" s="79" t="e">
        <f t="shared" si="50"/>
        <v>#VALUE!</v>
      </c>
      <c r="AY64" s="97" t="e">
        <f t="shared" si="51"/>
        <v>#VALUE!</v>
      </c>
    </row>
    <row r="65" spans="4:51" s="49" customFormat="1" ht="10.5" customHeight="1" x14ac:dyDescent="0.2">
      <c r="D65" s="82"/>
      <c r="J65" s="50"/>
      <c r="K65" s="51"/>
      <c r="M65" s="75">
        <v>57</v>
      </c>
      <c r="N65" s="78" t="str">
        <f>IF(E12&lt;&gt;"M",Q65,"")</f>
        <v/>
      </c>
      <c r="O65" s="78" t="e">
        <f t="shared" si="35"/>
        <v>#VALUE!</v>
      </c>
      <c r="Q65" s="96" t="e">
        <f>IF(M65&lt;=$E$8,((Q64*K28*($E$12-$M65+1))/$M65),IF($E$8&lt;$M65,((Q64*K28*($E$12-$M65+1))/$E$8),0))</f>
        <v>#VALUE!</v>
      </c>
      <c r="R65" s="79">
        <f>IF($M65&lt;$E$8,((K28)^$M65)*(FACT($E$12))/(FACT($M65)*FACT($E$12-$M65)),0)</f>
        <v>0</v>
      </c>
      <c r="S65" s="79">
        <f t="shared" si="52"/>
        <v>0</v>
      </c>
      <c r="T65" s="79" t="e">
        <f t="shared" si="36"/>
        <v>#VALUE!</v>
      </c>
      <c r="U65" s="97" t="e">
        <f t="shared" si="42"/>
        <v>#VALUE!</v>
      </c>
      <c r="V65" s="96" t="e">
        <f>IF(M65&lt;=servi1,((V64*K28*($E$12-$M65+1))/$M65),IF(servi1&lt;$M65,((V64*K28*($E$12-$M65+1))/servi1),0))</f>
        <v>#VALUE!</v>
      </c>
      <c r="W65" s="79">
        <f>IF($M65&lt;servi1,((K28)^$M65)*(FACT($E$12))/(FACT($M65)*FACT($E$12-$M65)),0)</f>
        <v>0</v>
      </c>
      <c r="X65" s="79">
        <f t="shared" si="53"/>
        <v>0</v>
      </c>
      <c r="Y65" s="79" t="e">
        <f>IF(AND($M65&gt;=servi1,$M65&lt;=$E$12),(((K28^($M65))*FACT($E$12))/((FACT(servi1))*(FACT($E$12-$M65))*(servi1^($M65-servi1)))),0)</f>
        <v>#VALUE!</v>
      </c>
      <c r="Z65" s="97" t="e">
        <f t="shared" si="43"/>
        <v>#VALUE!</v>
      </c>
      <c r="AA65" s="96" t="e">
        <f>IF(M65&lt;=servi2,((AA64*K28*($E$12-$M65+1))/$M65),IF(servi2&lt;$M65,((AA64*K28*($E$12-$M65+1))/servi2),0))</f>
        <v>#VALUE!</v>
      </c>
      <c r="AB65" s="79">
        <f>IF($M65&lt;servi2,((K28)^$M65)*(FACT($E$12))/(FACT($M65)*FACT($E$12-$M65)),0)</f>
        <v>0</v>
      </c>
      <c r="AC65" s="79">
        <f t="shared" si="54"/>
        <v>0</v>
      </c>
      <c r="AD65" s="79" t="e">
        <f>IF(AND($M65&gt;=servi2,$M65&lt;=$E$12),(((K28^($M65))*FACT($E$12))/((FACT(servi2))*(FACT($E$12-$M65))*(servi2^($M65-servi2)))),0)</f>
        <v>#VALUE!</v>
      </c>
      <c r="AE65" s="97" t="e">
        <f t="shared" si="44"/>
        <v>#VALUE!</v>
      </c>
      <c r="AF65" s="96" t="e">
        <f>IF(M65&lt;=servi3,((AF64*K28*($E$12-$M65+1))/$M65),IF(servi3&lt;$M65,((AF64*K28*($E$12-$M65+1))/servi3),0))</f>
        <v>#VALUE!</v>
      </c>
      <c r="AG65" s="79">
        <f>IF($M65&lt;servi3,((K28)^$M65)*(FACT($E$12))/(FACT($M65)*FACT($E$12-$M65)),0)</f>
        <v>0</v>
      </c>
      <c r="AH65" s="79">
        <f t="shared" si="55"/>
        <v>0</v>
      </c>
      <c r="AI65" s="79" t="e">
        <f>IF(AND($M65&gt;=servi3,$M65&lt;=$E$12),(((K28^($M65))*FACT($E$12))/((FACT(servi3))*(FACT($E$12-$M65))*(servi3^($M65-servi3)))),0)</f>
        <v>#VALUE!</v>
      </c>
      <c r="AJ65" s="97" t="e">
        <f t="shared" si="45"/>
        <v>#VALUE!</v>
      </c>
      <c r="AK65" s="96" t="e">
        <f>IF(M65&lt;=servi4,((AK64*K28*($E$12-$M65+1))/$M65),IF(servi4&lt;$M65,((AK64*K28*($E$12-$M65+1))/servi4),0))</f>
        <v>#VALUE!</v>
      </c>
      <c r="AL65" s="79">
        <f>IF($M65&lt;servi4,((K28)^$M65)*(FACT($E$12))/(FACT($M65)*FACT($E$12-$M65)),0)</f>
        <v>0</v>
      </c>
      <c r="AM65" s="79">
        <f t="shared" si="56"/>
        <v>0</v>
      </c>
      <c r="AN65" s="79" t="e">
        <f t="shared" si="46"/>
        <v>#VALUE!</v>
      </c>
      <c r="AO65" s="97" t="e">
        <f t="shared" si="47"/>
        <v>#VALUE!</v>
      </c>
      <c r="AP65" s="96" t="e">
        <f>IF(M65&lt;=servi5,((AP64*K28*($E$12-$M65+1))/$M65),IF(servi5&lt;$M65,((AP64*K28*($E$12-$M65+1))/servi5),0))</f>
        <v>#VALUE!</v>
      </c>
      <c r="AQ65" s="79">
        <f>IF($M65&lt;servi5,((K28)^$M65)*(FACT($E$12))/(FACT($M65)*FACT($E$12-$M65)),0)</f>
        <v>0</v>
      </c>
      <c r="AR65" s="79">
        <f t="shared" si="57"/>
        <v>0</v>
      </c>
      <c r="AS65" s="79" t="e">
        <f t="shared" si="48"/>
        <v>#VALUE!</v>
      </c>
      <c r="AT65" s="97" t="e">
        <f t="shared" si="49"/>
        <v>#VALUE!</v>
      </c>
      <c r="AU65" s="96" t="e">
        <f>IF(M65&lt;=servi6,((AU64*K28*($E$12-$M65+1))/$M65),IF(servi6&lt;$M65,((AU64*K28*($E$12-$M65+1))/servi6),0))</f>
        <v>#VALUE!</v>
      </c>
      <c r="AV65" s="79">
        <f>IF($M65&lt;servi6,((K28)^$M65)*(FACT($E$12))/(FACT($M65)*FACT($E$12-$M65)),0)</f>
        <v>0</v>
      </c>
      <c r="AW65" s="79">
        <f t="shared" si="58"/>
        <v>0</v>
      </c>
      <c r="AX65" s="79" t="e">
        <f t="shared" si="50"/>
        <v>#VALUE!</v>
      </c>
      <c r="AY65" s="97" t="e">
        <f t="shared" si="51"/>
        <v>#VALUE!</v>
      </c>
    </row>
    <row r="66" spans="4:51" s="49" customFormat="1" ht="10.5" customHeight="1" x14ac:dyDescent="0.2">
      <c r="D66" s="82"/>
      <c r="J66" s="50"/>
      <c r="K66" s="51"/>
      <c r="M66" s="75">
        <v>58</v>
      </c>
      <c r="N66" s="78" t="str">
        <f>IF(E12&lt;&gt;"M",Q66,"")</f>
        <v/>
      </c>
      <c r="O66" s="78" t="e">
        <f t="shared" si="35"/>
        <v>#VALUE!</v>
      </c>
      <c r="Q66" s="96" t="e">
        <f>IF(M66&lt;=$E$8,((Q65*K28*($E$12-$M66+1))/$M66),IF($E$8&lt;$M66,((Q65*K28*($E$12-$M66+1))/$E$8),0))</f>
        <v>#VALUE!</v>
      </c>
      <c r="R66" s="79">
        <f>IF($M66&lt;$E$8,((K28)^$M66)*(FACT($E$12))/(FACT($M66)*FACT($E$12-$M66)),0)</f>
        <v>0</v>
      </c>
      <c r="S66" s="79">
        <f t="shared" si="52"/>
        <v>0</v>
      </c>
      <c r="T66" s="79" t="e">
        <f t="shared" si="36"/>
        <v>#VALUE!</v>
      </c>
      <c r="U66" s="97" t="e">
        <f t="shared" si="42"/>
        <v>#VALUE!</v>
      </c>
      <c r="V66" s="96" t="e">
        <f>IF(M66&lt;=servi1,((V65*K28*($E$12-$M66+1))/$M66),IF(servi1&lt;$M66,((V65*K28*($E$12-$M66+1))/servi1),0))</f>
        <v>#VALUE!</v>
      </c>
      <c r="W66" s="79">
        <f>IF($M66&lt;servi1,((K28)^$M66)*(FACT($E$12))/(FACT($M66)*FACT($E$12-$M66)),0)</f>
        <v>0</v>
      </c>
      <c r="X66" s="79">
        <f t="shared" si="53"/>
        <v>0</v>
      </c>
      <c r="Y66" s="79" t="e">
        <f>IF(AND($M66&gt;=servi1,$M66&lt;=$E$12),(((K28^($M66))*FACT($E$12))/((FACT(servi1))*(FACT($E$12-$M66))*(servi1^($M66-servi1)))),0)</f>
        <v>#VALUE!</v>
      </c>
      <c r="Z66" s="97" t="e">
        <f t="shared" si="43"/>
        <v>#VALUE!</v>
      </c>
      <c r="AA66" s="96" t="e">
        <f>IF(M66&lt;=servi2,((AA65*K28*($E$12-$M66+1))/$M66),IF(servi2&lt;$M66,((AA65*K28*($E$12-$M66+1))/servi2),0))</f>
        <v>#VALUE!</v>
      </c>
      <c r="AB66" s="79">
        <f>IF($M66&lt;servi2,((K28)^$M66)*(FACT($E$12))/(FACT($M66)*FACT($E$12-$M66)),0)</f>
        <v>0</v>
      </c>
      <c r="AC66" s="79">
        <f t="shared" si="54"/>
        <v>0</v>
      </c>
      <c r="AD66" s="79" t="e">
        <f>IF(AND($M66&gt;=servi2,$M66&lt;=$E$12),(((K28^($M66))*FACT($E$12))/((FACT(servi2))*(FACT($E$12-$M66))*(servi2^($M66-servi2)))),0)</f>
        <v>#VALUE!</v>
      </c>
      <c r="AE66" s="97" t="e">
        <f t="shared" si="44"/>
        <v>#VALUE!</v>
      </c>
      <c r="AF66" s="96" t="e">
        <f>IF(M66&lt;=servi3,((AF65*K28*($E$12-$M66+1))/$M66),IF(servi3&lt;$M66,((AF65*K28*($E$12-$M66+1))/servi3),0))</f>
        <v>#VALUE!</v>
      </c>
      <c r="AG66" s="79">
        <f>IF($M66&lt;servi3,((K28)^$M66)*(FACT($E$12))/(FACT($M66)*FACT($E$12-$M66)),0)</f>
        <v>0</v>
      </c>
      <c r="AH66" s="79">
        <f t="shared" si="55"/>
        <v>0</v>
      </c>
      <c r="AI66" s="79" t="e">
        <f>IF(AND($M66&gt;=servi3,$M66&lt;=$E$12),(((K28^($M66))*FACT($E$12))/((FACT(servi3))*(FACT($E$12-$M66))*(servi3^($M66-servi3)))),0)</f>
        <v>#VALUE!</v>
      </c>
      <c r="AJ66" s="97" t="e">
        <f t="shared" si="45"/>
        <v>#VALUE!</v>
      </c>
      <c r="AK66" s="96" t="e">
        <f>IF(M66&lt;=servi4,((AK65*K28*($E$12-$M66+1))/$M66),IF(servi4&lt;$M66,((AK65*K28*($E$12-$M66+1))/servi4),0))</f>
        <v>#VALUE!</v>
      </c>
      <c r="AL66" s="79">
        <f>IF($M66&lt;servi4,((K28)^$M66)*(FACT($E$12))/(FACT($M66)*FACT($E$12-$M66)),0)</f>
        <v>0</v>
      </c>
      <c r="AM66" s="79">
        <f t="shared" si="56"/>
        <v>0</v>
      </c>
      <c r="AN66" s="79" t="e">
        <f t="shared" si="46"/>
        <v>#VALUE!</v>
      </c>
      <c r="AO66" s="97" t="e">
        <f t="shared" si="47"/>
        <v>#VALUE!</v>
      </c>
      <c r="AP66" s="96" t="e">
        <f>IF(M66&lt;=servi5,((AP65*K28*($E$12-$M66+1))/$M66),IF(servi5&lt;$M66,((AP65*K28*($E$12-$M66+1))/servi5),0))</f>
        <v>#VALUE!</v>
      </c>
      <c r="AQ66" s="79">
        <f>IF($M66&lt;servi5,((K28)^$M66)*(FACT($E$12))/(FACT($M66)*FACT($E$12-$M66)),0)</f>
        <v>0</v>
      </c>
      <c r="AR66" s="79">
        <f t="shared" si="57"/>
        <v>0</v>
      </c>
      <c r="AS66" s="79" t="e">
        <f t="shared" si="48"/>
        <v>#VALUE!</v>
      </c>
      <c r="AT66" s="97" t="e">
        <f t="shared" si="49"/>
        <v>#VALUE!</v>
      </c>
      <c r="AU66" s="96" t="e">
        <f>IF(M66&lt;=servi6,((AU65*K28*($E$12-$M66+1))/$M66),IF(servi6&lt;$M66,((AU65*K28*($E$12-$M66+1))/servi6),0))</f>
        <v>#VALUE!</v>
      </c>
      <c r="AV66" s="79">
        <f>IF($M66&lt;servi6,((K28)^$M66)*(FACT($E$12))/(FACT($M66)*FACT($E$12-$M66)),0)</f>
        <v>0</v>
      </c>
      <c r="AW66" s="79">
        <f t="shared" si="58"/>
        <v>0</v>
      </c>
      <c r="AX66" s="79" t="e">
        <f t="shared" si="50"/>
        <v>#VALUE!</v>
      </c>
      <c r="AY66" s="97" t="e">
        <f t="shared" si="51"/>
        <v>#VALUE!</v>
      </c>
    </row>
    <row r="67" spans="4:51" s="49" customFormat="1" ht="10.5" customHeight="1" x14ac:dyDescent="0.2">
      <c r="D67" s="82"/>
      <c r="J67" s="50"/>
      <c r="K67" s="51"/>
      <c r="M67" s="75">
        <v>59</v>
      </c>
      <c r="N67" s="78" t="str">
        <f>IF(E12&lt;&gt;"M",Q67,"")</f>
        <v/>
      </c>
      <c r="O67" s="78" t="e">
        <f t="shared" si="35"/>
        <v>#VALUE!</v>
      </c>
      <c r="Q67" s="96" t="e">
        <f>IF(M67&lt;=$E$8,((Q66*K28*($E$12-$M67+1))/$M67),IF($E$8&lt;$M67,((Q66*K28*($E$12-$M67+1))/$E$8),0))</f>
        <v>#VALUE!</v>
      </c>
      <c r="R67" s="79">
        <f>IF($M67&lt;$E$8,((K28)^$M67)*(FACT($E$12))/(FACT($M67)*FACT($E$12-$M67)),0)</f>
        <v>0</v>
      </c>
      <c r="S67" s="79">
        <f t="shared" si="52"/>
        <v>0</v>
      </c>
      <c r="T67" s="79" t="e">
        <f t="shared" si="36"/>
        <v>#VALUE!</v>
      </c>
      <c r="U67" s="97" t="e">
        <f t="shared" si="42"/>
        <v>#VALUE!</v>
      </c>
      <c r="V67" s="96" t="e">
        <f>IF(M67&lt;=servi1,((V66*K28*($E$12-$M67+1))/$M67),IF(servi1&lt;$M67,((V66*K28*($E$12-$M67+1))/servi1),0))</f>
        <v>#VALUE!</v>
      </c>
      <c r="W67" s="79">
        <f>IF($M67&lt;servi1,((K28)^$M67)*(FACT($E$12))/(FACT($M67)*FACT($E$12-$M67)),0)</f>
        <v>0</v>
      </c>
      <c r="X67" s="79">
        <f t="shared" si="53"/>
        <v>0</v>
      </c>
      <c r="Y67" s="79" t="e">
        <f>IF(AND($M67&gt;=servi1,$M67&lt;=$E$12),(((K28^($M67))*FACT($E$12))/((FACT(servi1))*(FACT($E$12-$M67))*(servi1^($M67-servi1)))),0)</f>
        <v>#VALUE!</v>
      </c>
      <c r="Z67" s="97" t="e">
        <f t="shared" si="43"/>
        <v>#VALUE!</v>
      </c>
      <c r="AA67" s="96" t="e">
        <f>IF(M67&lt;=servi2,((AA66*K28*($E$12-$M67+1))/$M67),IF(servi2&lt;$M67,((AA66*K28*($E$12-$M67+1))/servi2),0))</f>
        <v>#VALUE!</v>
      </c>
      <c r="AB67" s="79">
        <f>IF($M67&lt;servi2,((K28)^$M67)*(FACT($E$12))/(FACT($M67)*FACT($E$12-$M67)),0)</f>
        <v>0</v>
      </c>
      <c r="AC67" s="79">
        <f t="shared" si="54"/>
        <v>0</v>
      </c>
      <c r="AD67" s="79" t="e">
        <f>IF(AND($M67&gt;=servi2,$M67&lt;=$E$12),(((K28^($M67))*FACT($E$12))/((FACT(servi2))*(FACT($E$12-$M67))*(servi2^($M67-servi2)))),0)</f>
        <v>#VALUE!</v>
      </c>
      <c r="AE67" s="97" t="e">
        <f t="shared" si="44"/>
        <v>#VALUE!</v>
      </c>
      <c r="AF67" s="96" t="e">
        <f>IF(M67&lt;=servi3,((AF66*K28*($E$12-$M67+1))/$M67),IF(servi3&lt;$M67,((AF66*K28*($E$12-$M67+1))/servi3),0))</f>
        <v>#VALUE!</v>
      </c>
      <c r="AG67" s="79">
        <f>IF($M67&lt;servi3,((K28)^$M67)*(FACT($E$12))/(FACT($M67)*FACT($E$12-$M67)),0)</f>
        <v>0</v>
      </c>
      <c r="AH67" s="79">
        <f t="shared" si="55"/>
        <v>0</v>
      </c>
      <c r="AI67" s="79" t="e">
        <f>IF(AND($M67&gt;=servi3,$M67&lt;=$E$12),(((K28^($M67))*FACT($E$12))/((FACT(servi3))*(FACT($E$12-$M67))*(servi3^($M67-servi3)))),0)</f>
        <v>#VALUE!</v>
      </c>
      <c r="AJ67" s="97" t="e">
        <f t="shared" si="45"/>
        <v>#VALUE!</v>
      </c>
      <c r="AK67" s="96" t="e">
        <f>IF(M67&lt;=servi4,((AK66*K28*($E$12-$M67+1))/$M67),IF(servi4&lt;$M67,((AK66*K28*($E$12-$M67+1))/servi4),0))</f>
        <v>#VALUE!</v>
      </c>
      <c r="AL67" s="79">
        <f>IF($M67&lt;servi4,((K28)^$M67)*(FACT($E$12))/(FACT($M67)*FACT($E$12-$M67)),0)</f>
        <v>0</v>
      </c>
      <c r="AM67" s="79">
        <f t="shared" si="56"/>
        <v>0</v>
      </c>
      <c r="AN67" s="79" t="e">
        <f t="shared" si="46"/>
        <v>#VALUE!</v>
      </c>
      <c r="AO67" s="97" t="e">
        <f t="shared" si="47"/>
        <v>#VALUE!</v>
      </c>
      <c r="AP67" s="96" t="e">
        <f>IF(M67&lt;=servi5,((AP66*K28*($E$12-$M67+1))/$M67),IF(servi5&lt;$M67,((AP66*K28*($E$12-$M67+1))/servi5),0))</f>
        <v>#VALUE!</v>
      </c>
      <c r="AQ67" s="79">
        <f>IF($M67&lt;servi5,((K28)^$M67)*(FACT($E$12))/(FACT($M67)*FACT($E$12-$M67)),0)</f>
        <v>0</v>
      </c>
      <c r="AR67" s="79">
        <f t="shared" si="57"/>
        <v>0</v>
      </c>
      <c r="AS67" s="79" t="e">
        <f t="shared" si="48"/>
        <v>#VALUE!</v>
      </c>
      <c r="AT67" s="97" t="e">
        <f t="shared" si="49"/>
        <v>#VALUE!</v>
      </c>
      <c r="AU67" s="96" t="e">
        <f>IF(M67&lt;=servi6,((AU66*K28*($E$12-$M67+1))/$M67),IF(servi6&lt;$M67,((AU66*K28*($E$12-$M67+1))/servi6),0))</f>
        <v>#VALUE!</v>
      </c>
      <c r="AV67" s="79">
        <f>IF($M67&lt;servi6,((K28)^$M67)*(FACT($E$12))/(FACT($M67)*FACT($E$12-$M67)),0)</f>
        <v>0</v>
      </c>
      <c r="AW67" s="79">
        <f t="shared" si="58"/>
        <v>0</v>
      </c>
      <c r="AX67" s="79" t="e">
        <f t="shared" si="50"/>
        <v>#VALUE!</v>
      </c>
      <c r="AY67" s="97" t="e">
        <f t="shared" si="51"/>
        <v>#VALUE!</v>
      </c>
    </row>
    <row r="68" spans="4:51" s="49" customFormat="1" ht="10.5" customHeight="1" x14ac:dyDescent="0.2">
      <c r="D68" s="82"/>
      <c r="J68" s="50"/>
      <c r="K68" s="51"/>
      <c r="M68" s="75">
        <v>60</v>
      </c>
      <c r="N68" s="78" t="str">
        <f>IF(E12&lt;&gt;"M",Q68,"")</f>
        <v/>
      </c>
      <c r="O68" s="78" t="e">
        <f t="shared" si="35"/>
        <v>#VALUE!</v>
      </c>
      <c r="Q68" s="96" t="e">
        <f>IF(M68&lt;=$E$8,((Q67*K28*($E$12-$M68+1))/$M68),IF($E$8&lt;$M68,((Q67*K28*($E$12-$M68+1))/$E$8),0))</f>
        <v>#VALUE!</v>
      </c>
      <c r="R68" s="79">
        <f>IF($M68&lt;$E$8,((K28)^$M68)*(FACT($E$12))/(FACT($M68)*FACT($E$12-$M68)),0)</f>
        <v>0</v>
      </c>
      <c r="S68" s="79">
        <f t="shared" si="52"/>
        <v>0</v>
      </c>
      <c r="T68" s="79" t="e">
        <f t="shared" si="36"/>
        <v>#VALUE!</v>
      </c>
      <c r="U68" s="97" t="e">
        <f t="shared" si="42"/>
        <v>#VALUE!</v>
      </c>
      <c r="V68" s="96" t="e">
        <f>IF(M68&lt;=servi1,((V67*K28*($E$12-$M68+1))/$M68),IF(servi1&lt;$M68,((V67*K28*($E$12-$M68+1))/servi1),0))</f>
        <v>#VALUE!</v>
      </c>
      <c r="W68" s="79">
        <f>IF($M68&lt;servi1,((K28)^$M68)*(FACT($E$12))/(FACT($M68)*FACT($E$12-$M68)),0)</f>
        <v>0</v>
      </c>
      <c r="X68" s="79">
        <f t="shared" si="53"/>
        <v>0</v>
      </c>
      <c r="Y68" s="79" t="e">
        <f>IF(AND($M68&gt;=servi1,$M68&lt;=$E$12),(((K28^($M68))*FACT($E$12))/((FACT(servi1))*(FACT($E$12-$M68))*(servi1^($M68-servi1)))),0)</f>
        <v>#VALUE!</v>
      </c>
      <c r="Z68" s="97" t="e">
        <f t="shared" si="43"/>
        <v>#VALUE!</v>
      </c>
      <c r="AA68" s="96" t="e">
        <f>IF(M68&lt;=servi2,((AA67*K28*($E$12-$M68+1))/$M68),IF(servi2&lt;$M68,((AA67*K28*($E$12-$M68+1))/servi2),0))</f>
        <v>#VALUE!</v>
      </c>
      <c r="AB68" s="79">
        <f>IF($M68&lt;servi2,((K28)^$M68)*(FACT($E$12))/(FACT($M68)*FACT($E$12-$M68)),0)</f>
        <v>0</v>
      </c>
      <c r="AC68" s="79">
        <f t="shared" si="54"/>
        <v>0</v>
      </c>
      <c r="AD68" s="79" t="e">
        <f>IF(AND($M68&gt;=servi2,$M68&lt;=$E$12),(((K28^($M68))*FACT($E$12))/((FACT(servi2))*(FACT($E$12-$M68))*(servi2^($M68-servi2)))),0)</f>
        <v>#VALUE!</v>
      </c>
      <c r="AE68" s="97" t="e">
        <f t="shared" si="44"/>
        <v>#VALUE!</v>
      </c>
      <c r="AF68" s="96" t="e">
        <f>IF(M68&lt;=servi3,((AF67*K28*($E$12-$M68+1))/$M68),IF(servi3&lt;$M68,((AF67*K28*($E$12-$M68+1))/servi3),0))</f>
        <v>#VALUE!</v>
      </c>
      <c r="AG68" s="79">
        <f>IF($M68&lt;servi3,((K28)^$M68)*(FACT($E$12))/(FACT($M68)*FACT($E$12-$M68)),0)</f>
        <v>0</v>
      </c>
      <c r="AH68" s="79">
        <f t="shared" si="55"/>
        <v>0</v>
      </c>
      <c r="AI68" s="79" t="e">
        <f>IF(AND($M68&gt;=servi3,$M68&lt;=$E$12),(((K28^($M68))*FACT($E$12))/((FACT(servi3))*(FACT($E$12-$M68))*(servi3^($M68-servi3)))),0)</f>
        <v>#VALUE!</v>
      </c>
      <c r="AJ68" s="97" t="e">
        <f t="shared" si="45"/>
        <v>#VALUE!</v>
      </c>
      <c r="AK68" s="96" t="e">
        <f>IF(M68&lt;=servi4,((AK67*K28*($E$12-$M68+1))/$M68),IF(servi4&lt;$M68,((AK67*K28*($E$12-$M68+1))/servi4),0))</f>
        <v>#VALUE!</v>
      </c>
      <c r="AL68" s="79">
        <f>IF($M68&lt;servi4,((K28)^$M68)*(FACT($E$12))/(FACT($M68)*FACT($E$12-$M68)),0)</f>
        <v>0</v>
      </c>
      <c r="AM68" s="79">
        <f t="shared" si="56"/>
        <v>0</v>
      </c>
      <c r="AN68" s="79" t="e">
        <f t="shared" si="46"/>
        <v>#VALUE!</v>
      </c>
      <c r="AO68" s="97" t="e">
        <f t="shared" si="47"/>
        <v>#VALUE!</v>
      </c>
      <c r="AP68" s="96" t="e">
        <f>IF(M68&lt;=servi5,((AP67*K28*($E$12-$M68+1))/$M68),IF(servi5&lt;$M68,((AP67*K28*($E$12-$M68+1))/servi5),0))</f>
        <v>#VALUE!</v>
      </c>
      <c r="AQ68" s="79">
        <f>IF($M68&lt;servi5,((K28)^$M68)*(FACT($E$12))/(FACT($M68)*FACT($E$12-$M68)),0)</f>
        <v>0</v>
      </c>
      <c r="AR68" s="79">
        <f t="shared" si="57"/>
        <v>0</v>
      </c>
      <c r="AS68" s="79" t="e">
        <f t="shared" si="48"/>
        <v>#VALUE!</v>
      </c>
      <c r="AT68" s="97" t="e">
        <f t="shared" si="49"/>
        <v>#VALUE!</v>
      </c>
      <c r="AU68" s="96" t="e">
        <f>IF(M68&lt;=servi6,((AU67*K28*($E$12-$M68+1))/$M68),IF(servi6&lt;$M68,((AU67*K28*($E$12-$M68+1))/servi6),0))</f>
        <v>#VALUE!</v>
      </c>
      <c r="AV68" s="79">
        <f>IF($M68&lt;servi6,((K28)^$M68)*(FACT($E$12))/(FACT($M68)*FACT($E$12-$M68)),0)</f>
        <v>0</v>
      </c>
      <c r="AW68" s="79">
        <f t="shared" si="58"/>
        <v>0</v>
      </c>
      <c r="AX68" s="79" t="e">
        <f t="shared" si="50"/>
        <v>#VALUE!</v>
      </c>
      <c r="AY68" s="97" t="e">
        <f t="shared" si="51"/>
        <v>#VALUE!</v>
      </c>
    </row>
    <row r="69" spans="4:51" s="49" customFormat="1" ht="10.5" customHeight="1" x14ac:dyDescent="0.2">
      <c r="D69" s="82"/>
      <c r="J69" s="50"/>
      <c r="K69" s="51"/>
      <c r="M69" s="75">
        <v>61</v>
      </c>
      <c r="N69" s="78" t="str">
        <f>IF(E12&lt;&gt;"M",Q69,"")</f>
        <v/>
      </c>
      <c r="O69" s="78" t="e">
        <f t="shared" si="35"/>
        <v>#VALUE!</v>
      </c>
      <c r="Q69" s="96" t="e">
        <f>IF(M69&lt;=$E$8,((Q68*K28*($E$12-$M69+1))/$M69),IF($E$8&lt;$M69,((Q68*K28*($E$12-$M69+1))/$E$8),0))</f>
        <v>#VALUE!</v>
      </c>
      <c r="R69" s="79">
        <f>IF($M69&lt;$E$8,((K28)^$M69)*(FACT($E$12))/(FACT($M69)*FACT($E$12-$M69)),0)</f>
        <v>0</v>
      </c>
      <c r="S69" s="79">
        <f t="shared" si="52"/>
        <v>0</v>
      </c>
      <c r="T69" s="79" t="e">
        <f t="shared" si="36"/>
        <v>#VALUE!</v>
      </c>
      <c r="U69" s="97" t="e">
        <f t="shared" si="42"/>
        <v>#VALUE!</v>
      </c>
      <c r="V69" s="96" t="e">
        <f>IF(M69&lt;=servi1,((V68*K28*($E$12-$M69+1))/$M69),IF(servi1&lt;$M69,((V68*K28*($E$12-$M69+1))/servi1),0))</f>
        <v>#VALUE!</v>
      </c>
      <c r="W69" s="79">
        <f>IF($M69&lt;servi1,((K28)^$M69)*(FACT($E$12))/(FACT($M69)*FACT($E$12-$M69)),0)</f>
        <v>0</v>
      </c>
      <c r="X69" s="79">
        <f t="shared" si="53"/>
        <v>0</v>
      </c>
      <c r="Y69" s="79" t="e">
        <f>IF(AND($M69&gt;=servi1,$M69&lt;=$E$12),(((K28^($M69))*FACT($E$12))/((FACT(servi1))*(FACT($E$12-$M69))*(servi1^($M69-servi1)))),0)</f>
        <v>#VALUE!</v>
      </c>
      <c r="Z69" s="97" t="e">
        <f t="shared" si="43"/>
        <v>#VALUE!</v>
      </c>
      <c r="AA69" s="96" t="e">
        <f>IF(M69&lt;=servi2,((AA68*K28*($E$12-$M69+1))/$M69),IF(servi2&lt;$M69,((AA68*K28*($E$12-$M69+1))/servi2),0))</f>
        <v>#VALUE!</v>
      </c>
      <c r="AB69" s="79">
        <f>IF($M69&lt;servi2,((K28)^$M69)*(FACT($E$12))/(FACT($M69)*FACT($E$12-$M69)),0)</f>
        <v>0</v>
      </c>
      <c r="AC69" s="79">
        <f t="shared" si="54"/>
        <v>0</v>
      </c>
      <c r="AD69" s="79" t="e">
        <f>IF(AND($M69&gt;=servi2,$M69&lt;=$E$12),(((K28^($M69))*FACT($E$12))/((FACT(servi2))*(FACT($E$12-$M69))*(servi2^($M69-servi2)))),0)</f>
        <v>#VALUE!</v>
      </c>
      <c r="AE69" s="97" t="e">
        <f t="shared" si="44"/>
        <v>#VALUE!</v>
      </c>
      <c r="AF69" s="96" t="e">
        <f>IF(M69&lt;=servi3,((AF68*K28*($E$12-$M69+1))/$M69),IF(servi3&lt;$M69,((AF68*K28*($E$12-$M69+1))/servi3),0))</f>
        <v>#VALUE!</v>
      </c>
      <c r="AG69" s="79">
        <f>IF($M69&lt;servi3,((K28)^$M69)*(FACT($E$12))/(FACT($M69)*FACT($E$12-$M69)),0)</f>
        <v>0</v>
      </c>
      <c r="AH69" s="79">
        <f t="shared" si="55"/>
        <v>0</v>
      </c>
      <c r="AI69" s="79" t="e">
        <f>IF(AND($M69&gt;=servi3,$M69&lt;=$E$12),(((K28^($M69))*FACT($E$12))/((FACT(servi3))*(FACT($E$12-$M69))*(servi3^($M69-servi3)))),0)</f>
        <v>#VALUE!</v>
      </c>
      <c r="AJ69" s="97" t="e">
        <f t="shared" si="45"/>
        <v>#VALUE!</v>
      </c>
      <c r="AK69" s="96" t="e">
        <f>IF(M69&lt;=servi4,((AK68*K28*($E$12-$M69+1))/$M69),IF(servi4&lt;$M69,((AK68*K28*($E$12-$M69+1))/servi4),0))</f>
        <v>#VALUE!</v>
      </c>
      <c r="AL69" s="79">
        <f>IF($M69&lt;servi4,((K28)^$M69)*(FACT($E$12))/(FACT($M69)*FACT($E$12-$M69)),0)</f>
        <v>0</v>
      </c>
      <c r="AM69" s="79">
        <f t="shared" si="56"/>
        <v>0</v>
      </c>
      <c r="AN69" s="79" t="e">
        <f t="shared" si="46"/>
        <v>#VALUE!</v>
      </c>
      <c r="AO69" s="97" t="e">
        <f t="shared" si="47"/>
        <v>#VALUE!</v>
      </c>
      <c r="AP69" s="96" t="e">
        <f>IF(M69&lt;=servi5,((AP68*K28*($E$12-$M69+1))/$M69),IF(servi5&lt;$M69,((AP68*K28*($E$12-$M69+1))/servi5),0))</f>
        <v>#VALUE!</v>
      </c>
      <c r="AQ69" s="79">
        <f>IF($M69&lt;servi5,((K28)^$M69)*(FACT($E$12))/(FACT($M69)*FACT($E$12-$M69)),0)</f>
        <v>0</v>
      </c>
      <c r="AR69" s="79">
        <f t="shared" si="57"/>
        <v>0</v>
      </c>
      <c r="AS69" s="79" t="e">
        <f t="shared" si="48"/>
        <v>#VALUE!</v>
      </c>
      <c r="AT69" s="97" t="e">
        <f t="shared" si="49"/>
        <v>#VALUE!</v>
      </c>
      <c r="AU69" s="96" t="e">
        <f>IF(M69&lt;=servi6,((AU68*K28*($E$12-$M69+1))/$M69),IF(servi6&lt;$M69,((AU68*K28*($E$12-$M69+1))/servi6),0))</f>
        <v>#VALUE!</v>
      </c>
      <c r="AV69" s="79">
        <f>IF($M69&lt;servi6,((K28)^$M69)*(FACT($E$12))/(FACT($M69)*FACT($E$12-$M69)),0)</f>
        <v>0</v>
      </c>
      <c r="AW69" s="79">
        <f t="shared" si="58"/>
        <v>0</v>
      </c>
      <c r="AX69" s="79" t="e">
        <f t="shared" si="50"/>
        <v>#VALUE!</v>
      </c>
      <c r="AY69" s="97" t="e">
        <f t="shared" si="51"/>
        <v>#VALUE!</v>
      </c>
    </row>
    <row r="70" spans="4:51" s="49" customFormat="1" ht="10.5" customHeight="1" x14ac:dyDescent="0.2">
      <c r="D70" s="82"/>
      <c r="J70" s="50"/>
      <c r="K70" s="51"/>
      <c r="M70" s="75">
        <v>62</v>
      </c>
      <c r="N70" s="78" t="str">
        <f>IF(E12&lt;&gt;"M",Q70,"")</f>
        <v/>
      </c>
      <c r="O70" s="78" t="e">
        <f t="shared" si="35"/>
        <v>#VALUE!</v>
      </c>
      <c r="Q70" s="96" t="e">
        <f>IF(M70&lt;=$E$8,((Q69*K28*($E$12-$M70+1))/$M70),IF($E$8&lt;$M70,((Q69*K28*($E$12-$M70+1))/$E$8),0))</f>
        <v>#VALUE!</v>
      </c>
      <c r="R70" s="79">
        <f>IF($M70&lt;$E$8,((K28)^$M70)*(FACT($E$12))/(FACT($M70)*FACT($E$12-$M70)),0)</f>
        <v>0</v>
      </c>
      <c r="S70" s="79">
        <f t="shared" si="52"/>
        <v>0</v>
      </c>
      <c r="T70" s="79" t="e">
        <f t="shared" si="36"/>
        <v>#VALUE!</v>
      </c>
      <c r="U70" s="97" t="e">
        <f t="shared" si="42"/>
        <v>#VALUE!</v>
      </c>
      <c r="V70" s="96" t="e">
        <f>IF(M70&lt;=servi1,((V69*K28*($E$12-$M70+1))/$M70),IF(servi1&lt;$M70,((V69*K28*($E$12-$M70+1))/servi1),0))</f>
        <v>#VALUE!</v>
      </c>
      <c r="W70" s="79">
        <f>IF($M70&lt;servi1,((K28)^$M70)*(FACT($E$12))/(FACT($M70)*FACT($E$12-$M70)),0)</f>
        <v>0</v>
      </c>
      <c r="X70" s="79">
        <f t="shared" si="53"/>
        <v>0</v>
      </c>
      <c r="Y70" s="79" t="e">
        <f>IF(AND($M70&gt;=servi1,$M70&lt;=$E$12),(((K28^($M70))*FACT($E$12))/((FACT(servi1))*(FACT($E$12-$M70))*(servi1^($M70-servi1)))),0)</f>
        <v>#VALUE!</v>
      </c>
      <c r="Z70" s="97" t="e">
        <f t="shared" si="43"/>
        <v>#VALUE!</v>
      </c>
      <c r="AA70" s="96" t="e">
        <f>IF(M70&lt;=servi2,((AA69*K28*($E$12-$M70+1))/$M70),IF(servi2&lt;$M70,((AA69*K28*($E$12-$M70+1))/servi2),0))</f>
        <v>#VALUE!</v>
      </c>
      <c r="AB70" s="79">
        <f>IF($M70&lt;servi2,((K28)^$M70)*(FACT($E$12))/(FACT($M70)*FACT($E$12-$M70)),0)</f>
        <v>0</v>
      </c>
      <c r="AC70" s="79">
        <f t="shared" si="54"/>
        <v>0</v>
      </c>
      <c r="AD70" s="79" t="e">
        <f>IF(AND($M70&gt;=servi2,$M70&lt;=$E$12),(((K28^($M70))*FACT($E$12))/((FACT(servi2))*(FACT($E$12-$M70))*(servi2^($M70-servi2)))),0)</f>
        <v>#VALUE!</v>
      </c>
      <c r="AE70" s="97" t="e">
        <f t="shared" si="44"/>
        <v>#VALUE!</v>
      </c>
      <c r="AF70" s="96" t="e">
        <f>IF(M70&lt;=servi3,((AF69*K28*($E$12-$M70+1))/$M70),IF(servi3&lt;$M70,((AF69*K28*($E$12-$M70+1))/servi3),0))</f>
        <v>#VALUE!</v>
      </c>
      <c r="AG70" s="79">
        <f>IF($M70&lt;servi3,((K28)^$M70)*(FACT($E$12))/(FACT($M70)*FACT($E$12-$M70)),0)</f>
        <v>0</v>
      </c>
      <c r="AH70" s="79">
        <f t="shared" si="55"/>
        <v>0</v>
      </c>
      <c r="AI70" s="79" t="e">
        <f>IF(AND($M70&gt;=servi3,$M70&lt;=$E$12),(((K28^($M70))*FACT($E$12))/((FACT(servi3))*(FACT($E$12-$M70))*(servi3^($M70-servi3)))),0)</f>
        <v>#VALUE!</v>
      </c>
      <c r="AJ70" s="97" t="e">
        <f t="shared" si="45"/>
        <v>#VALUE!</v>
      </c>
      <c r="AK70" s="96" t="e">
        <f>IF(M70&lt;=servi4,((AK69*K28*($E$12-$M70+1))/$M70),IF(servi4&lt;$M70,((AK69*K28*($E$12-$M70+1))/servi4),0))</f>
        <v>#VALUE!</v>
      </c>
      <c r="AL70" s="79">
        <f>IF($M70&lt;servi4,((K28)^$M70)*(FACT($E$12))/(FACT($M70)*FACT($E$12-$M70)),0)</f>
        <v>0</v>
      </c>
      <c r="AM70" s="79">
        <f t="shared" si="56"/>
        <v>0</v>
      </c>
      <c r="AN70" s="79" t="e">
        <f t="shared" si="46"/>
        <v>#VALUE!</v>
      </c>
      <c r="AO70" s="97" t="e">
        <f t="shared" si="47"/>
        <v>#VALUE!</v>
      </c>
      <c r="AP70" s="96" t="e">
        <f>IF(M70&lt;=servi5,((AP69*K28*($E$12-$M70+1))/$M70),IF(servi5&lt;$M70,((AP69*K28*($E$12-$M70+1))/servi5),0))</f>
        <v>#VALUE!</v>
      </c>
      <c r="AQ70" s="79">
        <f>IF($M70&lt;servi5,((K28)^$M70)*(FACT($E$12))/(FACT($M70)*FACT($E$12-$M70)),0)</f>
        <v>0</v>
      </c>
      <c r="AR70" s="79">
        <f t="shared" si="57"/>
        <v>0</v>
      </c>
      <c r="AS70" s="79" t="e">
        <f t="shared" si="48"/>
        <v>#VALUE!</v>
      </c>
      <c r="AT70" s="97" t="e">
        <f t="shared" si="49"/>
        <v>#VALUE!</v>
      </c>
      <c r="AU70" s="96" t="e">
        <f>IF(M70&lt;=servi6,((AU69*K28*($E$12-$M70+1))/$M70),IF(servi6&lt;$M70,((AU69*K28*($E$12-$M70+1))/servi6),0))</f>
        <v>#VALUE!</v>
      </c>
      <c r="AV70" s="79">
        <f>IF($M70&lt;servi6,((K28)^$M70)*(FACT($E$12))/(FACT($M70)*FACT($E$12-$M70)),0)</f>
        <v>0</v>
      </c>
      <c r="AW70" s="79">
        <f t="shared" si="58"/>
        <v>0</v>
      </c>
      <c r="AX70" s="79" t="e">
        <f t="shared" si="50"/>
        <v>#VALUE!</v>
      </c>
      <c r="AY70" s="97" t="e">
        <f t="shared" si="51"/>
        <v>#VALUE!</v>
      </c>
    </row>
    <row r="71" spans="4:51" s="49" customFormat="1" ht="10.5" customHeight="1" x14ac:dyDescent="0.2">
      <c r="D71" s="82"/>
      <c r="J71" s="50"/>
      <c r="K71" s="51"/>
      <c r="M71" s="75">
        <v>63</v>
      </c>
      <c r="N71" s="78" t="str">
        <f>IF(E12&lt;&gt;"M",Q71,"")</f>
        <v/>
      </c>
      <c r="O71" s="78" t="e">
        <f t="shared" si="35"/>
        <v>#VALUE!</v>
      </c>
      <c r="Q71" s="96" t="e">
        <f>IF(M71&lt;=$E$8,((Q70*K28*($E$12-$M71+1))/$M71),IF($E$8&lt;$M71,((Q70*K28*($E$12-$M71+1))/$E$8),0))</f>
        <v>#VALUE!</v>
      </c>
      <c r="R71" s="79">
        <f>IF($M71&lt;$E$8,((K28)^$M71)*(FACT($E$12))/(FACT($M71)*FACT($E$12-$M71)),0)</f>
        <v>0</v>
      </c>
      <c r="S71" s="79">
        <f t="shared" si="52"/>
        <v>0</v>
      </c>
      <c r="T71" s="79" t="e">
        <f t="shared" si="36"/>
        <v>#VALUE!</v>
      </c>
      <c r="U71" s="97" t="e">
        <f t="shared" si="42"/>
        <v>#VALUE!</v>
      </c>
      <c r="V71" s="96" t="e">
        <f>IF(M71&lt;=servi1,((V70*K28*($E$12-$M71+1))/$M71),IF(servi1&lt;$M71,((V70*K28*($E$12-$M71+1))/servi1),0))</f>
        <v>#VALUE!</v>
      </c>
      <c r="W71" s="79">
        <f>IF($M71&lt;servi1,((K28)^$M71)*(FACT($E$12))/(FACT($M71)*FACT($E$12-$M71)),0)</f>
        <v>0</v>
      </c>
      <c r="X71" s="79">
        <f t="shared" si="53"/>
        <v>0</v>
      </c>
      <c r="Y71" s="79" t="e">
        <f>IF(AND($M71&gt;=servi1,$M71&lt;=$E$12),(((K28^($M71))*FACT($E$12))/((FACT(servi1))*(FACT($E$12-$M71))*(servi1^($M71-servi1)))),0)</f>
        <v>#VALUE!</v>
      </c>
      <c r="Z71" s="97" t="e">
        <f t="shared" si="43"/>
        <v>#VALUE!</v>
      </c>
      <c r="AA71" s="96" t="e">
        <f>IF(M71&lt;=servi2,((AA70*K28*($E$12-$M71+1))/$M71),IF(servi2&lt;$M71,((AA70*K28*($E$12-$M71+1))/servi2),0))</f>
        <v>#VALUE!</v>
      </c>
      <c r="AB71" s="79">
        <f>IF($M71&lt;servi2,((K28)^$M71)*(FACT($E$12))/(FACT($M71)*FACT($E$12-$M71)),0)</f>
        <v>0</v>
      </c>
      <c r="AC71" s="79">
        <f t="shared" si="54"/>
        <v>0</v>
      </c>
      <c r="AD71" s="79" t="e">
        <f>IF(AND($M71&gt;=servi2,$M71&lt;=$E$12),(((K28^($M71))*FACT($E$12))/((FACT(servi2))*(FACT($E$12-$M71))*(servi2^($M71-servi2)))),0)</f>
        <v>#VALUE!</v>
      </c>
      <c r="AE71" s="97" t="e">
        <f t="shared" si="44"/>
        <v>#VALUE!</v>
      </c>
      <c r="AF71" s="96" t="e">
        <f>IF(M71&lt;=servi3,((AF70*K28*($E$12-$M71+1))/$M71),IF(servi3&lt;$M71,((AF70*K28*($E$12-$M71+1))/servi3),0))</f>
        <v>#VALUE!</v>
      </c>
      <c r="AG71" s="79">
        <f>IF($M71&lt;servi3,((K28)^$M71)*(FACT($E$12))/(FACT($M71)*FACT($E$12-$M71)),0)</f>
        <v>0</v>
      </c>
      <c r="AH71" s="79">
        <f t="shared" si="55"/>
        <v>0</v>
      </c>
      <c r="AI71" s="79" t="e">
        <f>IF(AND($M71&gt;=servi3,$M71&lt;=$E$12),(((K28^($M71))*FACT($E$12))/((FACT(servi3))*(FACT($E$12-$M71))*(servi3^($M71-servi3)))),0)</f>
        <v>#VALUE!</v>
      </c>
      <c r="AJ71" s="97" t="e">
        <f t="shared" si="45"/>
        <v>#VALUE!</v>
      </c>
      <c r="AK71" s="96" t="e">
        <f>IF(M71&lt;=servi4,((AK70*K28*($E$12-$M71+1))/$M71),IF(servi4&lt;$M71,((AK70*K28*($E$12-$M71+1))/servi4),0))</f>
        <v>#VALUE!</v>
      </c>
      <c r="AL71" s="79">
        <f>IF($M71&lt;servi4,((K28)^$M71)*(FACT($E$12))/(FACT($M71)*FACT($E$12-$M71)),0)</f>
        <v>0</v>
      </c>
      <c r="AM71" s="79">
        <f t="shared" si="56"/>
        <v>0</v>
      </c>
      <c r="AN71" s="79" t="e">
        <f t="shared" si="46"/>
        <v>#VALUE!</v>
      </c>
      <c r="AO71" s="97" t="e">
        <f t="shared" si="47"/>
        <v>#VALUE!</v>
      </c>
      <c r="AP71" s="96" t="e">
        <f>IF(M71&lt;=servi5,((AP70*K28*($E$12-$M71+1))/$M71),IF(servi5&lt;$M71,((AP70*K28*($E$12-$M71+1))/servi5),0))</f>
        <v>#VALUE!</v>
      </c>
      <c r="AQ71" s="79">
        <f>IF($M71&lt;servi5,((K28)^$M71)*(FACT($E$12))/(FACT($M71)*FACT($E$12-$M71)),0)</f>
        <v>0</v>
      </c>
      <c r="AR71" s="79">
        <f t="shared" si="57"/>
        <v>0</v>
      </c>
      <c r="AS71" s="79" t="e">
        <f t="shared" si="48"/>
        <v>#VALUE!</v>
      </c>
      <c r="AT71" s="97" t="e">
        <f t="shared" si="49"/>
        <v>#VALUE!</v>
      </c>
      <c r="AU71" s="96" t="e">
        <f>IF(M71&lt;=servi6,((AU70*K28*($E$12-$M71+1))/$M71),IF(servi6&lt;$M71,((AU70*K28*($E$12-$M71+1))/servi6),0))</f>
        <v>#VALUE!</v>
      </c>
      <c r="AV71" s="79">
        <f>IF($M71&lt;servi6,((K28)^$M71)*(FACT($E$12))/(FACT($M71)*FACT($E$12-$M71)),0)</f>
        <v>0</v>
      </c>
      <c r="AW71" s="79">
        <f t="shared" si="58"/>
        <v>0</v>
      </c>
      <c r="AX71" s="79" t="e">
        <f t="shared" si="50"/>
        <v>#VALUE!</v>
      </c>
      <c r="AY71" s="97" t="e">
        <f t="shared" si="51"/>
        <v>#VALUE!</v>
      </c>
    </row>
    <row r="72" spans="4:51" s="49" customFormat="1" ht="10.5" customHeight="1" x14ac:dyDescent="0.2">
      <c r="D72" s="82"/>
      <c r="J72" s="50"/>
      <c r="K72" s="51"/>
      <c r="M72" s="75">
        <v>64</v>
      </c>
      <c r="N72" s="78" t="str">
        <f>IF(E12&lt;&gt;"M",Q72,"")</f>
        <v/>
      </c>
      <c r="O72" s="78" t="e">
        <f t="shared" si="35"/>
        <v>#VALUE!</v>
      </c>
      <c r="Q72" s="96" t="e">
        <f>IF(M72&lt;=$E$8,((Q71*K28*($E$12-$M72+1))/$M72),IF($E$8&lt;$M72,((Q71*K28*($E$12-$M72+1))/$E$8),0))</f>
        <v>#VALUE!</v>
      </c>
      <c r="R72" s="79">
        <f>IF($M72&lt;$E$8,((K28)^$M72)*(FACT($E$12))/(FACT($M72)*FACT($E$12-$M72)),0)</f>
        <v>0</v>
      </c>
      <c r="S72" s="79">
        <f t="shared" si="52"/>
        <v>0</v>
      </c>
      <c r="T72" s="79" t="e">
        <f t="shared" si="36"/>
        <v>#VALUE!</v>
      </c>
      <c r="U72" s="97" t="e">
        <f t="shared" ref="U72:U108" si="59">IF(AND($M72&gt;=$E$8+1,$M72&lt;=$E$12),($M72-$E$8)*Q72,0)</f>
        <v>#VALUE!</v>
      </c>
      <c r="V72" s="96" t="e">
        <f>IF(M72&lt;=servi1,((V71*K28*($E$12-$M72+1))/$M72),IF(servi1&lt;$M72,((V71*K28*($E$12-$M72+1))/servi1),0))</f>
        <v>#VALUE!</v>
      </c>
      <c r="W72" s="79">
        <f>IF($M72&lt;servi1,((K28)^$M72)*(FACT($E$12))/(FACT($M72)*FACT($E$12-$M72)),0)</f>
        <v>0</v>
      </c>
      <c r="X72" s="79">
        <f t="shared" si="53"/>
        <v>0</v>
      </c>
      <c r="Y72" s="79" t="e">
        <f>IF(AND($M72&gt;=servi1,$M72&lt;=$E$12),(((K28^($M72))*FACT($E$12))/((FACT(servi1))*(FACT($E$12-$M72))*(servi1^($M72-servi1)))),0)</f>
        <v>#VALUE!</v>
      </c>
      <c r="Z72" s="97" t="e">
        <f t="shared" ref="Z72:Z108" si="60">IF(AND($M72&gt;=servi1+1,$M72&lt;=$E$12),($M72-servi1)*V72,0)</f>
        <v>#VALUE!</v>
      </c>
      <c r="AA72" s="96" t="e">
        <f>IF(M72&lt;=servi2,((AA71*K28*($E$12-$M72+1))/$M72),IF(servi2&lt;$M72,((AA71*K28*($E$12-$M72+1))/servi2),0))</f>
        <v>#VALUE!</v>
      </c>
      <c r="AB72" s="79">
        <f>IF($M72&lt;servi2,((K28)^$M72)*(FACT($E$12))/(FACT($M72)*FACT($E$12-$M72)),0)</f>
        <v>0</v>
      </c>
      <c r="AC72" s="79">
        <f t="shared" si="54"/>
        <v>0</v>
      </c>
      <c r="AD72" s="79" t="e">
        <f>IF(AND($M72&gt;=servi2,$M72&lt;=$E$12),(((K28^($M72))*FACT($E$12))/((FACT(servi2))*(FACT($E$12-$M72))*(servi2^($M72-servi2)))),0)</f>
        <v>#VALUE!</v>
      </c>
      <c r="AE72" s="97" t="e">
        <f t="shared" ref="AE72:AE108" si="61">IF(AND($M72&gt;=servi2+1,$M72&lt;=$E$12),($M72-servi2)*AA72,0)</f>
        <v>#VALUE!</v>
      </c>
      <c r="AF72" s="96" t="e">
        <f>IF(M72&lt;=servi3,((AF71*K28*($E$12-$M72+1))/$M72),IF(servi3&lt;$M72,((AF71*K28*($E$12-$M72+1))/servi3),0))</f>
        <v>#VALUE!</v>
      </c>
      <c r="AG72" s="79">
        <f>IF($M72&lt;servi3,((K28)^$M72)*(FACT($E$12))/(FACT($M72)*FACT($E$12-$M72)),0)</f>
        <v>0</v>
      </c>
      <c r="AH72" s="79">
        <f t="shared" si="55"/>
        <v>0</v>
      </c>
      <c r="AI72" s="79" t="e">
        <f>IF(AND($M72&gt;=servi3,$M72&lt;=$E$12),(((K28^($M72))*FACT($E$12))/((FACT(servi3))*(FACT($E$12-$M72))*(servi3^($M72-servi3)))),0)</f>
        <v>#VALUE!</v>
      </c>
      <c r="AJ72" s="97" t="e">
        <f t="shared" ref="AJ72:AJ108" si="62">IF(AND($M72&gt;=servi3+1,$M72&lt;=$E$12),($M72-servi3)*AF72,0)</f>
        <v>#VALUE!</v>
      </c>
      <c r="AK72" s="96" t="e">
        <f>IF(M72&lt;=servi4,((AK71*K28*($E$12-$M72+1))/$M72),IF(servi4&lt;$M72,((AK71*K28*($E$12-$M72+1))/servi4),0))</f>
        <v>#VALUE!</v>
      </c>
      <c r="AL72" s="79">
        <f>IF($M72&lt;servi4,((K28)^$M72)*(FACT($E$12))/(FACT($M72)*FACT($E$12-$M72)),0)</f>
        <v>0</v>
      </c>
      <c r="AM72" s="79">
        <f t="shared" si="56"/>
        <v>0</v>
      </c>
      <c r="AN72" s="79" t="e">
        <f t="shared" ref="AN72:AN108" si="63">IF(AND($M72&gt;=servi4,$M72&lt;=$E$12),((($K$28^($M72))*FACT($E$12))/((FACT(servi4))*(FACT($E$12-$M72))*(servi4^($M72-servi4)))),0)</f>
        <v>#VALUE!</v>
      </c>
      <c r="AO72" s="97" t="e">
        <f t="shared" ref="AO72:AO108" si="64">IF(AND($M72&gt;=servi4+1,$M72&lt;=$E$12),($M72-servi4)*AK72,0)</f>
        <v>#VALUE!</v>
      </c>
      <c r="AP72" s="96" t="e">
        <f>IF(M72&lt;=servi5,((AP71*K28*($E$12-$M72+1))/$M72),IF(servi5&lt;$M72,((AP71*K28*($E$12-$M72+1))/servi5),0))</f>
        <v>#VALUE!</v>
      </c>
      <c r="AQ72" s="79">
        <f>IF($M72&lt;servi5,((K28)^$M72)*(FACT($E$12))/(FACT($M72)*FACT($E$12-$M72)),0)</f>
        <v>0</v>
      </c>
      <c r="AR72" s="79">
        <f t="shared" si="57"/>
        <v>0</v>
      </c>
      <c r="AS72" s="79" t="e">
        <f t="shared" ref="AS72:AS108" si="65">IF(AND($M72&gt;=servi5,$M72&lt;=$E$12),((($K$28^($M72))*FACT($E$12))/((FACT(servi5))*(FACT($E$12-$M72))*(servi5^($M72-servi5)))),0)</f>
        <v>#VALUE!</v>
      </c>
      <c r="AT72" s="97" t="e">
        <f t="shared" ref="AT72:AT108" si="66">IF(AND($M72&gt;=servi5+1,$M72&lt;=$E$12),($M72-servi5)*AP72,0)</f>
        <v>#VALUE!</v>
      </c>
      <c r="AU72" s="96" t="e">
        <f>IF(M72&lt;=servi6,((AU71*K28*($E$12-$M72+1))/$M72),IF(servi6&lt;$M72,((AU71*K28*($E$12-$M72+1))/servi6),0))</f>
        <v>#VALUE!</v>
      </c>
      <c r="AV72" s="79">
        <f>IF($M72&lt;servi6,((K28)^$M72)*(FACT($E$12))/(FACT($M72)*FACT($E$12-$M72)),0)</f>
        <v>0</v>
      </c>
      <c r="AW72" s="79">
        <f t="shared" si="58"/>
        <v>0</v>
      </c>
      <c r="AX72" s="79" t="e">
        <f t="shared" ref="AX72:AX108" si="67">IF(AND($M72&gt;=servi6,$M72&lt;=$E$12),((($K$28^($M72))*FACT($E$12))/((FACT(servi6))*(FACT($E$12-$M72))*(servi6^($M72-servi6)))),0)</f>
        <v>#VALUE!</v>
      </c>
      <c r="AY72" s="97" t="e">
        <f t="shared" ref="AY72:AY108" si="68">IF(AND($M72&gt;=servi6+1,$M72&lt;=$E$12),($M72-servi6)*AU72,0)</f>
        <v>#VALUE!</v>
      </c>
    </row>
    <row r="73" spans="4:51" s="49" customFormat="1" ht="10.5" customHeight="1" x14ac:dyDescent="0.2">
      <c r="D73" s="82"/>
      <c r="J73" s="50"/>
      <c r="K73" s="51"/>
      <c r="M73" s="75">
        <v>65</v>
      </c>
      <c r="N73" s="78" t="str">
        <f>IF(E12&lt;&gt;"M",Q73,"")</f>
        <v/>
      </c>
      <c r="O73" s="78" t="e">
        <f t="shared" si="35"/>
        <v>#VALUE!</v>
      </c>
      <c r="Q73" s="96" t="e">
        <f>IF(M73&lt;=$E$8,((Q72*K28*($E$12-$M73+1))/$M73),IF($E$8&lt;$M73,((Q72*K28*($E$12-$M73+1))/$E$8),0))</f>
        <v>#VALUE!</v>
      </c>
      <c r="R73" s="79">
        <f>IF($M73&lt;$E$8,((K28)^$M73)*(FACT($E$12))/(FACT($M73)*FACT($E$12-$M73)),0)</f>
        <v>0</v>
      </c>
      <c r="S73" s="79">
        <f t="shared" ref="S73:S108" si="69">IF($M73&lt;$E$8,($Q73*(($E$8-M73)/$E$8)),0)</f>
        <v>0</v>
      </c>
      <c r="T73" s="79" t="e">
        <f t="shared" si="36"/>
        <v>#VALUE!</v>
      </c>
      <c r="U73" s="97" t="e">
        <f t="shared" si="59"/>
        <v>#VALUE!</v>
      </c>
      <c r="V73" s="96" t="e">
        <f>IF(M73&lt;=servi1,((V72*K28*($E$12-$M73+1))/$M73),IF(servi1&lt;$M73,((V72*K28*($E$12-$M73+1))/servi1),0))</f>
        <v>#VALUE!</v>
      </c>
      <c r="W73" s="79">
        <f>IF($M73&lt;servi1,((K28)^$M73)*(FACT($E$12))/(FACT($M73)*FACT($E$12-$M73)),0)</f>
        <v>0</v>
      </c>
      <c r="X73" s="79">
        <f t="shared" ref="X73:X108" si="70">IF($M73&lt;servi1,(((servi1-1)/servi1)*$Q73),0)</f>
        <v>0</v>
      </c>
      <c r="Y73" s="79" t="e">
        <f>IF(AND($M73&gt;=servi1,$M73&lt;=$E$12),(((K28^($M73))*FACT($E$12))/((FACT(servi1))*(FACT($E$12-$M73))*(servi1^($M73-servi1)))),0)</f>
        <v>#VALUE!</v>
      </c>
      <c r="Z73" s="97" t="e">
        <f t="shared" si="60"/>
        <v>#VALUE!</v>
      </c>
      <c r="AA73" s="96" t="e">
        <f>IF(M73&lt;=servi2,((AA72*K28*($E$12-$M73+1))/$M73),IF(servi2&lt;$M73,((AA72*K28*($E$12-$M73+1))/servi2),0))</f>
        <v>#VALUE!</v>
      </c>
      <c r="AB73" s="79">
        <f>IF($M73&lt;servi2,((K28)^$M73)*(FACT($E$12))/(FACT($M73)*FACT($E$12-$M73)),0)</f>
        <v>0</v>
      </c>
      <c r="AC73" s="79">
        <f t="shared" ref="AC73:AC108" si="71">IF($M73&lt;servi2,(((servi2-1)/servi2)*$Q73),0)</f>
        <v>0</v>
      </c>
      <c r="AD73" s="79" t="e">
        <f>IF(AND($M73&gt;=servi2,$M73&lt;=$E$12),(((K28^($M73))*FACT($E$12))/((FACT(servi2))*(FACT($E$12-$M73))*(servi2^($M73-servi2)))),0)</f>
        <v>#VALUE!</v>
      </c>
      <c r="AE73" s="97" t="e">
        <f t="shared" si="61"/>
        <v>#VALUE!</v>
      </c>
      <c r="AF73" s="96" t="e">
        <f>IF(M73&lt;=servi3,((AF72*K28*($E$12-$M73+1))/$M73),IF(servi3&lt;$M73,((AF72*K28*($E$12-$M73+1))/servi3),0))</f>
        <v>#VALUE!</v>
      </c>
      <c r="AG73" s="79">
        <f>IF($M73&lt;servi3,((K28)^$M73)*(FACT($E$12))/(FACT($M73)*FACT($E$12-$M73)),0)</f>
        <v>0</v>
      </c>
      <c r="AH73" s="79">
        <f t="shared" ref="AH73:AH108" si="72">IF($M73&lt;servi3,(((servi3-1)/servi3)*$Q73),0)</f>
        <v>0</v>
      </c>
      <c r="AI73" s="79" t="e">
        <f>IF(AND($M73&gt;=servi3,$M73&lt;=$E$12),(((K28^($M73))*FACT($E$12))/((FACT(servi3))*(FACT($E$12-$M73))*(servi3^($M73-servi3)))),0)</f>
        <v>#VALUE!</v>
      </c>
      <c r="AJ73" s="97" t="e">
        <f t="shared" si="62"/>
        <v>#VALUE!</v>
      </c>
      <c r="AK73" s="96" t="e">
        <f>IF(M73&lt;=servi4,((AK72*K28*($E$12-$M73+1))/$M73),IF(servi4&lt;$M73,((AK72*K28*($E$12-$M73+1))/servi4),0))</f>
        <v>#VALUE!</v>
      </c>
      <c r="AL73" s="79">
        <f>IF($M73&lt;servi4,((K28)^$M73)*(FACT($E$12))/(FACT($M73)*FACT($E$12-$M73)),0)</f>
        <v>0</v>
      </c>
      <c r="AM73" s="79">
        <f t="shared" ref="AM73:AM108" si="73">IF($M73&lt;servi4,(((servi4-1)/servi4)*$Q73),0)</f>
        <v>0</v>
      </c>
      <c r="AN73" s="79" t="e">
        <f t="shared" si="63"/>
        <v>#VALUE!</v>
      </c>
      <c r="AO73" s="97" t="e">
        <f t="shared" si="64"/>
        <v>#VALUE!</v>
      </c>
      <c r="AP73" s="96" t="e">
        <f>IF(M73&lt;=servi5,((AP72*K28*($E$12-$M73+1))/$M73),IF(servi5&lt;$M73,((AP72*K28*($E$12-$M73+1))/servi5),0))</f>
        <v>#VALUE!</v>
      </c>
      <c r="AQ73" s="79">
        <f>IF($M73&lt;servi5,((K28)^$M73)*(FACT($E$12))/(FACT($M73)*FACT($E$12-$M73)),0)</f>
        <v>0</v>
      </c>
      <c r="AR73" s="79">
        <f t="shared" ref="AR73:AR108" si="74">IF($M73&lt;servi5,(((servi5-1)/servi5)*$Q73),0)</f>
        <v>0</v>
      </c>
      <c r="AS73" s="79" t="e">
        <f t="shared" si="65"/>
        <v>#VALUE!</v>
      </c>
      <c r="AT73" s="97" t="e">
        <f t="shared" si="66"/>
        <v>#VALUE!</v>
      </c>
      <c r="AU73" s="96" t="e">
        <f>IF(M73&lt;=servi6,((AU72*K28*($E$12-$M73+1))/$M73),IF(servi6&lt;$M73,((AU72*K28*($E$12-$M73+1))/servi6),0))</f>
        <v>#VALUE!</v>
      </c>
      <c r="AV73" s="79">
        <f>IF($M73&lt;servi6,((K28)^$M73)*(FACT($E$12))/(FACT($M73)*FACT($E$12-$M73)),0)</f>
        <v>0</v>
      </c>
      <c r="AW73" s="79">
        <f t="shared" ref="AW73:AW108" si="75">IF($M73&lt;servi6,(((servi6-1)/servi6)*$Q73),0)</f>
        <v>0</v>
      </c>
      <c r="AX73" s="79" t="e">
        <f t="shared" si="67"/>
        <v>#VALUE!</v>
      </c>
      <c r="AY73" s="97" t="e">
        <f t="shared" si="68"/>
        <v>#VALUE!</v>
      </c>
    </row>
    <row r="74" spans="4:51" s="49" customFormat="1" ht="10.5" customHeight="1" x14ac:dyDescent="0.2">
      <c r="D74" s="82"/>
      <c r="J74" s="50"/>
      <c r="K74" s="51"/>
      <c r="M74" s="75">
        <v>66</v>
      </c>
      <c r="N74" s="78" t="str">
        <f>IF(E12&lt;&gt;"M",Q74,"")</f>
        <v/>
      </c>
      <c r="O74" s="78" t="e">
        <f t="shared" ref="O74:O108" si="76">O73+N74</f>
        <v>#VALUE!</v>
      </c>
      <c r="Q74" s="96" t="e">
        <f>IF(M74&lt;=$E$8,((Q73*K28*($E$12-$M74+1))/$M74),IF($E$8&lt;$M74,((Q73*K28*($E$12-$M74+1))/$E$8),0))</f>
        <v>#VALUE!</v>
      </c>
      <c r="R74" s="79">
        <f>IF($M74&lt;$E$8,((K28)^$M74)*(FACT($E$12))/(FACT($M74)*FACT($E$12-$M74)),0)</f>
        <v>0</v>
      </c>
      <c r="S74" s="79">
        <f t="shared" si="69"/>
        <v>0</v>
      </c>
      <c r="T74" s="79" t="e">
        <f t="shared" si="36"/>
        <v>#VALUE!</v>
      </c>
      <c r="U74" s="97" t="e">
        <f t="shared" si="59"/>
        <v>#VALUE!</v>
      </c>
      <c r="V74" s="96" t="e">
        <f>IF(M74&lt;=servi1,((V73*K28*($E$12-$M74+1))/$M74),IF(servi1&lt;$M74,((V73*K28*($E$12-$M74+1))/servi1),0))</f>
        <v>#VALUE!</v>
      </c>
      <c r="W74" s="79">
        <f>IF($M74&lt;servi1,((K28)^$M74)*(FACT($E$12))/(FACT($M74)*FACT($E$12-$M74)),0)</f>
        <v>0</v>
      </c>
      <c r="X74" s="79">
        <f t="shared" si="70"/>
        <v>0</v>
      </c>
      <c r="Y74" s="79" t="e">
        <f>IF(AND($M74&gt;=servi1,$M74&lt;=$E$12),(((K28^($M74))*FACT($E$12))/((FACT(servi1))*(FACT($E$12-$M74))*(servi1^($M74-servi1)))),0)</f>
        <v>#VALUE!</v>
      </c>
      <c r="Z74" s="97" t="e">
        <f t="shared" si="60"/>
        <v>#VALUE!</v>
      </c>
      <c r="AA74" s="96" t="e">
        <f>IF(M74&lt;=servi2,((AA73*K28*($E$12-$M74+1))/$M74),IF(servi2&lt;$M74,((AA73*K28*($E$12-$M74+1))/servi2),0))</f>
        <v>#VALUE!</v>
      </c>
      <c r="AB74" s="79">
        <f>IF($M74&lt;servi2,((K28)^$M74)*(FACT($E$12))/(FACT($M74)*FACT($E$12-$M74)),0)</f>
        <v>0</v>
      </c>
      <c r="AC74" s="79">
        <f t="shared" si="71"/>
        <v>0</v>
      </c>
      <c r="AD74" s="79" t="e">
        <f>IF(AND($M74&gt;=servi2,$M74&lt;=$E$12),(((K28^($M74))*FACT($E$12))/((FACT(servi2))*(FACT($E$12-$M74))*(servi2^($M74-servi2)))),0)</f>
        <v>#VALUE!</v>
      </c>
      <c r="AE74" s="97" t="e">
        <f t="shared" si="61"/>
        <v>#VALUE!</v>
      </c>
      <c r="AF74" s="96" t="e">
        <f>IF(M74&lt;=servi3,((AF73*K28*($E$12-$M74+1))/$M74),IF(servi3&lt;$M74,((AF73*K28*($E$12-$M74+1))/servi3),0))</f>
        <v>#VALUE!</v>
      </c>
      <c r="AG74" s="79">
        <f>IF($M74&lt;servi3,((K28)^$M74)*(FACT($E$12))/(FACT($M74)*FACT($E$12-$M74)),0)</f>
        <v>0</v>
      </c>
      <c r="AH74" s="79">
        <f t="shared" si="72"/>
        <v>0</v>
      </c>
      <c r="AI74" s="79" t="e">
        <f>IF(AND($M74&gt;=servi3,$M74&lt;=$E$12),(((K28^($M74))*FACT($E$12))/((FACT(servi3))*(FACT($E$12-$M74))*(servi3^($M74-servi3)))),0)</f>
        <v>#VALUE!</v>
      </c>
      <c r="AJ74" s="97" t="e">
        <f t="shared" si="62"/>
        <v>#VALUE!</v>
      </c>
      <c r="AK74" s="96" t="e">
        <f>IF(M74&lt;=servi4,((AK73*K28*($E$12-$M74+1))/$M74),IF(servi4&lt;$M74,((AK73*K28*($E$12-$M74+1))/servi4),0))</f>
        <v>#VALUE!</v>
      </c>
      <c r="AL74" s="79">
        <f>IF($M74&lt;servi4,((K28)^$M74)*(FACT($E$12))/(FACT($M74)*FACT($E$12-$M74)),0)</f>
        <v>0</v>
      </c>
      <c r="AM74" s="79">
        <f t="shared" si="73"/>
        <v>0</v>
      </c>
      <c r="AN74" s="79" t="e">
        <f t="shared" si="63"/>
        <v>#VALUE!</v>
      </c>
      <c r="AO74" s="97" t="e">
        <f t="shared" si="64"/>
        <v>#VALUE!</v>
      </c>
      <c r="AP74" s="96" t="e">
        <f>IF(M74&lt;=servi5,((AP73*K28*($E$12-$M74+1))/$M74),IF(servi5&lt;$M74,((AP73*K28*($E$12-$M74+1))/servi5),0))</f>
        <v>#VALUE!</v>
      </c>
      <c r="AQ74" s="79">
        <f>IF($M74&lt;servi5,((K28)^$M74)*(FACT($E$12))/(FACT($M74)*FACT($E$12-$M74)),0)</f>
        <v>0</v>
      </c>
      <c r="AR74" s="79">
        <f t="shared" si="74"/>
        <v>0</v>
      </c>
      <c r="AS74" s="79" t="e">
        <f t="shared" si="65"/>
        <v>#VALUE!</v>
      </c>
      <c r="AT74" s="97" t="e">
        <f t="shared" si="66"/>
        <v>#VALUE!</v>
      </c>
      <c r="AU74" s="96" t="e">
        <f>IF(M74&lt;=servi6,((AU73*K28*($E$12-$M74+1))/$M74),IF(servi6&lt;$M74,((AU73*K28*($E$12-$M74+1))/servi6),0))</f>
        <v>#VALUE!</v>
      </c>
      <c r="AV74" s="79">
        <f>IF($M74&lt;servi6,((K28)^$M74)*(FACT($E$12))/(FACT($M74)*FACT($E$12-$M74)),0)</f>
        <v>0</v>
      </c>
      <c r="AW74" s="79">
        <f t="shared" si="75"/>
        <v>0</v>
      </c>
      <c r="AX74" s="79" t="e">
        <f t="shared" si="67"/>
        <v>#VALUE!</v>
      </c>
      <c r="AY74" s="97" t="e">
        <f t="shared" si="68"/>
        <v>#VALUE!</v>
      </c>
    </row>
    <row r="75" spans="4:51" s="49" customFormat="1" ht="10.5" customHeight="1" x14ac:dyDescent="0.2">
      <c r="D75" s="82"/>
      <c r="J75" s="50"/>
      <c r="K75" s="51"/>
      <c r="M75" s="75">
        <v>67</v>
      </c>
      <c r="N75" s="78" t="str">
        <f>IF(E12&lt;&gt;"M",Q75,"")</f>
        <v/>
      </c>
      <c r="O75" s="78" t="e">
        <f t="shared" si="76"/>
        <v>#VALUE!</v>
      </c>
      <c r="Q75" s="96" t="e">
        <f>IF(M75&lt;=$E$8,((Q74*K28*($E$12-$M75+1))/$M75),IF($E$8&lt;$M75,((Q74*K28*($E$12-$M75+1))/$E$8),0))</f>
        <v>#VALUE!</v>
      </c>
      <c r="R75" s="79">
        <f>IF($M75&lt;$E$8,((K28)^$M75)*(FACT($E$12))/(FACT($M75)*FACT($E$12-$M75)),0)</f>
        <v>0</v>
      </c>
      <c r="S75" s="79">
        <f t="shared" si="69"/>
        <v>0</v>
      </c>
      <c r="T75" s="79" t="e">
        <f t="shared" si="36"/>
        <v>#VALUE!</v>
      </c>
      <c r="U75" s="97" t="e">
        <f t="shared" si="59"/>
        <v>#VALUE!</v>
      </c>
      <c r="V75" s="96" t="e">
        <f>IF(M75&lt;=servi1,((V74*K28*($E$12-$M75+1))/$M75),IF(servi1&lt;$M75,((V74*K28*($E$12-$M75+1))/servi1),0))</f>
        <v>#VALUE!</v>
      </c>
      <c r="W75" s="79">
        <f>IF($M75&lt;servi1,((K28)^$M75)*(FACT($E$12))/(FACT($M75)*FACT($E$12-$M75)),0)</f>
        <v>0</v>
      </c>
      <c r="X75" s="79">
        <f t="shared" si="70"/>
        <v>0</v>
      </c>
      <c r="Y75" s="79" t="e">
        <f>IF(AND($M75&gt;=servi1,$M75&lt;=$E$12),(((K28^($M75))*FACT($E$12))/((FACT(servi1))*(FACT($E$12-$M75))*(servi1^($M75-servi1)))),0)</f>
        <v>#VALUE!</v>
      </c>
      <c r="Z75" s="97" t="e">
        <f t="shared" si="60"/>
        <v>#VALUE!</v>
      </c>
      <c r="AA75" s="96" t="e">
        <f>IF(M75&lt;=servi2,((AA74*K28*($E$12-$M75+1))/$M75),IF(servi2&lt;$M75,((AA74*K28*($E$12-$M75+1))/servi2),0))</f>
        <v>#VALUE!</v>
      </c>
      <c r="AB75" s="79">
        <f>IF($M75&lt;servi2,((K28)^$M75)*(FACT($E$12))/(FACT($M75)*FACT($E$12-$M75)),0)</f>
        <v>0</v>
      </c>
      <c r="AC75" s="79">
        <f t="shared" si="71"/>
        <v>0</v>
      </c>
      <c r="AD75" s="79" t="e">
        <f>IF(AND($M75&gt;=servi2,$M75&lt;=$E$12),(((K28^($M75))*FACT($E$12))/((FACT(servi2))*(FACT($E$12-$M75))*(servi2^($M75-servi2)))),0)</f>
        <v>#VALUE!</v>
      </c>
      <c r="AE75" s="97" t="e">
        <f t="shared" si="61"/>
        <v>#VALUE!</v>
      </c>
      <c r="AF75" s="96" t="e">
        <f>IF(M75&lt;=servi3,((AF74*K28*($E$12-$M75+1))/$M75),IF(servi3&lt;$M75,((AF74*K28*($E$12-$M75+1))/servi3),0))</f>
        <v>#VALUE!</v>
      </c>
      <c r="AG75" s="79">
        <f>IF($M75&lt;servi3,((K28)^$M75)*(FACT($E$12))/(FACT($M75)*FACT($E$12-$M75)),0)</f>
        <v>0</v>
      </c>
      <c r="AH75" s="79">
        <f t="shared" si="72"/>
        <v>0</v>
      </c>
      <c r="AI75" s="79" t="e">
        <f>IF(AND($M75&gt;=servi3,$M75&lt;=$E$12),(((K28^($M75))*FACT($E$12))/((FACT(servi3))*(FACT($E$12-$M75))*(servi3^($M75-servi3)))),0)</f>
        <v>#VALUE!</v>
      </c>
      <c r="AJ75" s="97" t="e">
        <f t="shared" si="62"/>
        <v>#VALUE!</v>
      </c>
      <c r="AK75" s="96" t="e">
        <f>IF(M75&lt;=servi4,((AK74*K28*($E$12-$M75+1))/$M75),IF(servi4&lt;$M75,((AK74*K28*($E$12-$M75+1))/servi4),0))</f>
        <v>#VALUE!</v>
      </c>
      <c r="AL75" s="79">
        <f>IF($M75&lt;servi4,((K28)^$M75)*(FACT($E$12))/(FACT($M75)*FACT($E$12-$M75)),0)</f>
        <v>0</v>
      </c>
      <c r="AM75" s="79">
        <f t="shared" si="73"/>
        <v>0</v>
      </c>
      <c r="AN75" s="79" t="e">
        <f t="shared" si="63"/>
        <v>#VALUE!</v>
      </c>
      <c r="AO75" s="97" t="e">
        <f t="shared" si="64"/>
        <v>#VALUE!</v>
      </c>
      <c r="AP75" s="96" t="e">
        <f>IF(M75&lt;=servi5,((AP74*K28*($E$12-$M75+1))/$M75),IF(servi5&lt;$M75,((AP74*K28*($E$12-$M75+1))/servi5),0))</f>
        <v>#VALUE!</v>
      </c>
      <c r="AQ75" s="79">
        <f>IF($M75&lt;servi5,((K28)^$M75)*(FACT($E$12))/(FACT($M75)*FACT($E$12-$M75)),0)</f>
        <v>0</v>
      </c>
      <c r="AR75" s="79">
        <f t="shared" si="74"/>
        <v>0</v>
      </c>
      <c r="AS75" s="79" t="e">
        <f t="shared" si="65"/>
        <v>#VALUE!</v>
      </c>
      <c r="AT75" s="97" t="e">
        <f t="shared" si="66"/>
        <v>#VALUE!</v>
      </c>
      <c r="AU75" s="96" t="e">
        <f>IF(M75&lt;=servi6,((AU74*K28*($E$12-$M75+1))/$M75),IF(servi6&lt;$M75,((AU74*K28*($E$12-$M75+1))/servi6),0))</f>
        <v>#VALUE!</v>
      </c>
      <c r="AV75" s="79">
        <f>IF($M75&lt;servi6,((K28)^$M75)*(FACT($E$12))/(FACT($M75)*FACT($E$12-$M75)),0)</f>
        <v>0</v>
      </c>
      <c r="AW75" s="79">
        <f t="shared" si="75"/>
        <v>0</v>
      </c>
      <c r="AX75" s="79" t="e">
        <f t="shared" si="67"/>
        <v>#VALUE!</v>
      </c>
      <c r="AY75" s="97" t="e">
        <f t="shared" si="68"/>
        <v>#VALUE!</v>
      </c>
    </row>
    <row r="76" spans="4:51" s="49" customFormat="1" ht="10.5" customHeight="1" x14ac:dyDescent="0.2">
      <c r="D76" s="82"/>
      <c r="J76" s="50"/>
      <c r="K76" s="51"/>
      <c r="M76" s="75">
        <v>68</v>
      </c>
      <c r="N76" s="78" t="str">
        <f>IF(E12&lt;&gt;"M",Q76,"")</f>
        <v/>
      </c>
      <c r="O76" s="78" t="e">
        <f t="shared" si="76"/>
        <v>#VALUE!</v>
      </c>
      <c r="Q76" s="96" t="e">
        <f>IF(M76&lt;=$E$8,((Q75*K28*($E$12-$M76+1))/$M76),IF($E$8&lt;$M76,((Q75*K28*($E$12-$M76+1))/$E$8),0))</f>
        <v>#VALUE!</v>
      </c>
      <c r="R76" s="79">
        <f>IF($M76&lt;$E$8,((K28)^$M76)*(FACT($E$12))/(FACT($M76)*FACT($E$12-$M76)),0)</f>
        <v>0</v>
      </c>
      <c r="S76" s="79">
        <f t="shared" si="69"/>
        <v>0</v>
      </c>
      <c r="T76" s="79" t="e">
        <f t="shared" si="36"/>
        <v>#VALUE!</v>
      </c>
      <c r="U76" s="97" t="e">
        <f t="shared" si="59"/>
        <v>#VALUE!</v>
      </c>
      <c r="V76" s="96" t="e">
        <f>IF(M76&lt;=servi1,((V75*K28*($E$12-$M76+1))/$M76),IF(servi1&lt;$M76,((V75*K28*($E$12-$M76+1))/servi1),0))</f>
        <v>#VALUE!</v>
      </c>
      <c r="W76" s="79">
        <f>IF($M76&lt;servi1,((K28)^$M76)*(FACT($E$12))/(FACT($M76)*FACT($E$12-$M76)),0)</f>
        <v>0</v>
      </c>
      <c r="X76" s="79">
        <f t="shared" si="70"/>
        <v>0</v>
      </c>
      <c r="Y76" s="79" t="e">
        <f>IF(AND($M76&gt;=servi1,$M76&lt;=$E$12),(((K28^($M76))*FACT($E$12))/((FACT(servi1))*(FACT($E$12-$M76))*(servi1^($M76-servi1)))),0)</f>
        <v>#VALUE!</v>
      </c>
      <c r="Z76" s="97" t="e">
        <f t="shared" si="60"/>
        <v>#VALUE!</v>
      </c>
      <c r="AA76" s="96" t="e">
        <f>IF(M76&lt;=servi2,((AA75*K28*($E$12-$M76+1))/$M76),IF(servi2&lt;$M76,((AA75*K28*($E$12-$M76+1))/servi2),0))</f>
        <v>#VALUE!</v>
      </c>
      <c r="AB76" s="79">
        <f>IF($M76&lt;servi2,((K28)^$M76)*(FACT($E$12))/(FACT($M76)*FACT($E$12-$M76)),0)</f>
        <v>0</v>
      </c>
      <c r="AC76" s="79">
        <f t="shared" si="71"/>
        <v>0</v>
      </c>
      <c r="AD76" s="79" t="e">
        <f>IF(AND($M76&gt;=servi2,$M76&lt;=$E$12),(((K28^($M76))*FACT($E$12))/((FACT(servi2))*(FACT($E$12-$M76))*(servi2^($M76-servi2)))),0)</f>
        <v>#VALUE!</v>
      </c>
      <c r="AE76" s="97" t="e">
        <f t="shared" si="61"/>
        <v>#VALUE!</v>
      </c>
      <c r="AF76" s="96" t="e">
        <f>IF(M76&lt;=servi3,((AF75*K28*($E$12-$M76+1))/$M76),IF(servi3&lt;$M76,((AF75*K28*($E$12-$M76+1))/servi3),0))</f>
        <v>#VALUE!</v>
      </c>
      <c r="AG76" s="79">
        <f>IF($M76&lt;servi3,((K28)^$M76)*(FACT($E$12))/(FACT($M76)*FACT($E$12-$M76)),0)</f>
        <v>0</v>
      </c>
      <c r="AH76" s="79">
        <f t="shared" si="72"/>
        <v>0</v>
      </c>
      <c r="AI76" s="79" t="e">
        <f>IF(AND($M76&gt;=servi3,$M76&lt;=$E$12),(((K28^($M76))*FACT($E$12))/((FACT(servi3))*(FACT($E$12-$M76))*(servi3^($M76-servi3)))),0)</f>
        <v>#VALUE!</v>
      </c>
      <c r="AJ76" s="97" t="e">
        <f t="shared" si="62"/>
        <v>#VALUE!</v>
      </c>
      <c r="AK76" s="96" t="e">
        <f>IF(M76&lt;=servi4,((AK75*K28*($E$12-$M76+1))/$M76),IF(servi4&lt;$M76,((AK75*K28*($E$12-$M76+1))/servi4),0))</f>
        <v>#VALUE!</v>
      </c>
      <c r="AL76" s="79">
        <f>IF($M76&lt;servi4,((K28)^$M76)*(FACT($E$12))/(FACT($M76)*FACT($E$12-$M76)),0)</f>
        <v>0</v>
      </c>
      <c r="AM76" s="79">
        <f t="shared" si="73"/>
        <v>0</v>
      </c>
      <c r="AN76" s="79" t="e">
        <f t="shared" si="63"/>
        <v>#VALUE!</v>
      </c>
      <c r="AO76" s="97" t="e">
        <f t="shared" si="64"/>
        <v>#VALUE!</v>
      </c>
      <c r="AP76" s="96" t="e">
        <f>IF(M76&lt;=servi5,((AP75*K28*($E$12-$M76+1))/$M76),IF(servi5&lt;$M76,((AP75*K28*($E$12-$M76+1))/servi5),0))</f>
        <v>#VALUE!</v>
      </c>
      <c r="AQ76" s="79">
        <f>IF($M76&lt;servi5,((K28)^$M76)*(FACT($E$12))/(FACT($M76)*FACT($E$12-$M76)),0)</f>
        <v>0</v>
      </c>
      <c r="AR76" s="79">
        <f t="shared" si="74"/>
        <v>0</v>
      </c>
      <c r="AS76" s="79" t="e">
        <f t="shared" si="65"/>
        <v>#VALUE!</v>
      </c>
      <c r="AT76" s="97" t="e">
        <f t="shared" si="66"/>
        <v>#VALUE!</v>
      </c>
      <c r="AU76" s="96" t="e">
        <f>IF(M76&lt;=servi6,((AU75*K28*($E$12-$M76+1))/$M76),IF(servi6&lt;$M76,((AU75*K28*($E$12-$M76+1))/servi6),0))</f>
        <v>#VALUE!</v>
      </c>
      <c r="AV76" s="79">
        <f>IF($M76&lt;servi6,((K28)^$M76)*(FACT($E$12))/(FACT($M76)*FACT($E$12-$M76)),0)</f>
        <v>0</v>
      </c>
      <c r="AW76" s="79">
        <f t="shared" si="75"/>
        <v>0</v>
      </c>
      <c r="AX76" s="79" t="e">
        <f t="shared" si="67"/>
        <v>#VALUE!</v>
      </c>
      <c r="AY76" s="97" t="e">
        <f t="shared" si="68"/>
        <v>#VALUE!</v>
      </c>
    </row>
    <row r="77" spans="4:51" s="49" customFormat="1" ht="10.5" customHeight="1" x14ac:dyDescent="0.2">
      <c r="D77" s="82"/>
      <c r="J77" s="50"/>
      <c r="K77" s="51"/>
      <c r="M77" s="75">
        <v>69</v>
      </c>
      <c r="N77" s="78" t="str">
        <f>IF(E12&lt;&gt;"M",Q77,"")</f>
        <v/>
      </c>
      <c r="O77" s="78" t="e">
        <f t="shared" si="76"/>
        <v>#VALUE!</v>
      </c>
      <c r="Q77" s="96" t="e">
        <f>IF(M77&lt;=$E$8,((Q76*K28*($E$12-$M77+1))/$M77),IF($E$8&lt;$M77,((Q76*K28*($E$12-$M77+1))/$E$8),0))</f>
        <v>#VALUE!</v>
      </c>
      <c r="R77" s="79">
        <f>IF($M77&lt;$E$8,((K28)^$M77)*(FACT($E$12))/(FACT($M77)*FACT($E$12-$M77)),0)</f>
        <v>0</v>
      </c>
      <c r="S77" s="79">
        <f t="shared" si="69"/>
        <v>0</v>
      </c>
      <c r="T77" s="79" t="e">
        <f t="shared" si="36"/>
        <v>#VALUE!</v>
      </c>
      <c r="U77" s="97" t="e">
        <f t="shared" si="59"/>
        <v>#VALUE!</v>
      </c>
      <c r="V77" s="96" t="e">
        <f>IF(M77&lt;=servi1,((V76*K28*($E$12-$M77+1))/$M77),IF(servi1&lt;$M77,((V76*K28*($E$12-$M77+1))/servi1),0))</f>
        <v>#VALUE!</v>
      </c>
      <c r="W77" s="79">
        <f>IF($M77&lt;servi1,((K28)^$M77)*(FACT($E$12))/(FACT($M77)*FACT($E$12-$M77)),0)</f>
        <v>0</v>
      </c>
      <c r="X77" s="79">
        <f t="shared" si="70"/>
        <v>0</v>
      </c>
      <c r="Y77" s="79" t="e">
        <f>IF(AND($M77&gt;=servi1,$M77&lt;=$E$12),(((K28^($M77))*FACT($E$12))/((FACT(servi1))*(FACT($E$12-$M77))*(servi1^($M77-servi1)))),0)</f>
        <v>#VALUE!</v>
      </c>
      <c r="Z77" s="97" t="e">
        <f t="shared" si="60"/>
        <v>#VALUE!</v>
      </c>
      <c r="AA77" s="96" t="e">
        <f>IF(M77&lt;=servi2,((AA76*K28*($E$12-$M77+1))/$M77),IF(servi2&lt;$M77,((AA76*K28*($E$12-$M77+1))/servi2),0))</f>
        <v>#VALUE!</v>
      </c>
      <c r="AB77" s="79">
        <f>IF($M77&lt;servi2,((K28)^$M77)*(FACT($E$12))/(FACT($M77)*FACT($E$12-$M77)),0)</f>
        <v>0</v>
      </c>
      <c r="AC77" s="79">
        <f t="shared" si="71"/>
        <v>0</v>
      </c>
      <c r="AD77" s="79" t="e">
        <f>IF(AND($M77&gt;=servi2,$M77&lt;=$E$12),(((K28^($M77))*FACT($E$12))/((FACT(servi2))*(FACT($E$12-$M77))*(servi2^($M77-servi2)))),0)</f>
        <v>#VALUE!</v>
      </c>
      <c r="AE77" s="97" t="e">
        <f t="shared" si="61"/>
        <v>#VALUE!</v>
      </c>
      <c r="AF77" s="96" t="e">
        <f>IF(M77&lt;=servi3,((AF76*K28*($E$12-$M77+1))/$M77),IF(servi3&lt;$M77,((AF76*K28*($E$12-$M77+1))/servi3),0))</f>
        <v>#VALUE!</v>
      </c>
      <c r="AG77" s="79">
        <f>IF($M77&lt;servi3,((K28)^$M77)*(FACT($E$12))/(FACT($M77)*FACT($E$12-$M77)),0)</f>
        <v>0</v>
      </c>
      <c r="AH77" s="79">
        <f t="shared" si="72"/>
        <v>0</v>
      </c>
      <c r="AI77" s="79" t="e">
        <f>IF(AND($M77&gt;=servi3,$M77&lt;=$E$12),(((K28^($M77))*FACT($E$12))/((FACT(servi3))*(FACT($E$12-$M77))*(servi3^($M77-servi3)))),0)</f>
        <v>#VALUE!</v>
      </c>
      <c r="AJ77" s="97" t="e">
        <f t="shared" si="62"/>
        <v>#VALUE!</v>
      </c>
      <c r="AK77" s="96" t="e">
        <f>IF(M77&lt;=servi4,((AK76*K28*($E$12-$M77+1))/$M77),IF(servi4&lt;$M77,((AK76*K28*($E$12-$M77+1))/servi4),0))</f>
        <v>#VALUE!</v>
      </c>
      <c r="AL77" s="79">
        <f>IF($M77&lt;servi4,((K28)^$M77)*(FACT($E$12))/(FACT($M77)*FACT($E$12-$M77)),0)</f>
        <v>0</v>
      </c>
      <c r="AM77" s="79">
        <f t="shared" si="73"/>
        <v>0</v>
      </c>
      <c r="AN77" s="79" t="e">
        <f t="shared" si="63"/>
        <v>#VALUE!</v>
      </c>
      <c r="AO77" s="97" t="e">
        <f t="shared" si="64"/>
        <v>#VALUE!</v>
      </c>
      <c r="AP77" s="96" t="e">
        <f>IF(M77&lt;=servi5,((AP76*K28*($E$12-$M77+1))/$M77),IF(servi5&lt;$M77,((AP76*K28*($E$12-$M77+1))/servi5),0))</f>
        <v>#VALUE!</v>
      </c>
      <c r="AQ77" s="79">
        <f>IF($M77&lt;servi5,((K28)^$M77)*(FACT($E$12))/(FACT($M77)*FACT($E$12-$M77)),0)</f>
        <v>0</v>
      </c>
      <c r="AR77" s="79">
        <f t="shared" si="74"/>
        <v>0</v>
      </c>
      <c r="AS77" s="79" t="e">
        <f t="shared" si="65"/>
        <v>#VALUE!</v>
      </c>
      <c r="AT77" s="97" t="e">
        <f t="shared" si="66"/>
        <v>#VALUE!</v>
      </c>
      <c r="AU77" s="96" t="e">
        <f>IF(M77&lt;=servi6,((AU76*K28*($E$12-$M77+1))/$M77),IF(servi6&lt;$M77,((AU76*K28*($E$12-$M77+1))/servi6),0))</f>
        <v>#VALUE!</v>
      </c>
      <c r="AV77" s="79">
        <f>IF($M77&lt;servi6,((K28)^$M77)*(FACT($E$12))/(FACT($M77)*FACT($E$12-$M77)),0)</f>
        <v>0</v>
      </c>
      <c r="AW77" s="79">
        <f t="shared" si="75"/>
        <v>0</v>
      </c>
      <c r="AX77" s="79" t="e">
        <f t="shared" si="67"/>
        <v>#VALUE!</v>
      </c>
      <c r="AY77" s="97" t="e">
        <f t="shared" si="68"/>
        <v>#VALUE!</v>
      </c>
    </row>
    <row r="78" spans="4:51" s="49" customFormat="1" ht="10.5" customHeight="1" x14ac:dyDescent="0.2">
      <c r="D78" s="82"/>
      <c r="J78" s="50"/>
      <c r="K78" s="51"/>
      <c r="M78" s="75">
        <v>70</v>
      </c>
      <c r="N78" s="78" t="str">
        <f>IF(E12&lt;&gt;"M",Q78,"")</f>
        <v/>
      </c>
      <c r="O78" s="78" t="e">
        <f t="shared" si="76"/>
        <v>#VALUE!</v>
      </c>
      <c r="Q78" s="96" t="e">
        <f>IF(M78&lt;=$E$8,((Q77*K28*($E$12-$M78+1))/$M78),IF($E$8&lt;$M78,((Q77*K28*($E$12-$M78+1))/$E$8),0))</f>
        <v>#VALUE!</v>
      </c>
      <c r="R78" s="79">
        <f>IF($M78&lt;$E$8,((K28)^$M78)*(FACT($E$12))/(FACT($M78)*FACT($E$12-$M78)),0)</f>
        <v>0</v>
      </c>
      <c r="S78" s="79">
        <f t="shared" si="69"/>
        <v>0</v>
      </c>
      <c r="T78" s="79" t="e">
        <f t="shared" si="36"/>
        <v>#VALUE!</v>
      </c>
      <c r="U78" s="97" t="e">
        <f t="shared" si="59"/>
        <v>#VALUE!</v>
      </c>
      <c r="V78" s="96" t="e">
        <f>IF(M78&lt;=servi1,((V77*K28*($E$12-$M78+1))/$M78),IF(servi1&lt;$M78,((V77*K28*($E$12-$M78+1))/servi1),0))</f>
        <v>#VALUE!</v>
      </c>
      <c r="W78" s="79">
        <f>IF($M78&lt;servi1,((K28)^$M78)*(FACT($E$12))/(FACT($M78)*FACT($E$12-$M78)),0)</f>
        <v>0</v>
      </c>
      <c r="X78" s="79">
        <f t="shared" si="70"/>
        <v>0</v>
      </c>
      <c r="Y78" s="79" t="e">
        <f>IF(AND($M78&gt;=servi1,$M78&lt;=$E$12),(((K28^($M78))*FACT($E$12))/((FACT(servi1))*(FACT($E$12-$M78))*(servi1^($M78-servi1)))),0)</f>
        <v>#VALUE!</v>
      </c>
      <c r="Z78" s="97" t="e">
        <f t="shared" si="60"/>
        <v>#VALUE!</v>
      </c>
      <c r="AA78" s="96" t="e">
        <f>IF(M78&lt;=servi2,((AA77*K28*($E$12-$M78+1))/$M78),IF(servi2&lt;$M78,((AA77*K28*($E$12-$M78+1))/servi2),0))</f>
        <v>#VALUE!</v>
      </c>
      <c r="AB78" s="79">
        <f>IF($M78&lt;servi2,((K28)^$M78)*(FACT($E$12))/(FACT($M78)*FACT($E$12-$M78)),0)</f>
        <v>0</v>
      </c>
      <c r="AC78" s="79">
        <f t="shared" si="71"/>
        <v>0</v>
      </c>
      <c r="AD78" s="79" t="e">
        <f>IF(AND($M78&gt;=servi2,$M78&lt;=$E$12),(((K28^($M78))*FACT($E$12))/((FACT(servi2))*(FACT($E$12-$M78))*(servi2^($M78-servi2)))),0)</f>
        <v>#VALUE!</v>
      </c>
      <c r="AE78" s="97" t="e">
        <f t="shared" si="61"/>
        <v>#VALUE!</v>
      </c>
      <c r="AF78" s="96" t="e">
        <f>IF(M78&lt;=servi3,((AF77*K28*($E$12-$M78+1))/$M78),IF(servi3&lt;$M78,((AF77*K28*($E$12-$M78+1))/servi3),0))</f>
        <v>#VALUE!</v>
      </c>
      <c r="AG78" s="79">
        <f>IF($M78&lt;servi3,((K28)^$M78)*(FACT($E$12))/(FACT($M78)*FACT($E$12-$M78)),0)</f>
        <v>0</v>
      </c>
      <c r="AH78" s="79">
        <f t="shared" si="72"/>
        <v>0</v>
      </c>
      <c r="AI78" s="79" t="e">
        <f>IF(AND($M78&gt;=servi3,$M78&lt;=$E$12),(((K28^($M78))*FACT($E$12))/((FACT(servi3))*(FACT($E$12-$M78))*(servi3^($M78-servi3)))),0)</f>
        <v>#VALUE!</v>
      </c>
      <c r="AJ78" s="97" t="e">
        <f t="shared" si="62"/>
        <v>#VALUE!</v>
      </c>
      <c r="AK78" s="96" t="e">
        <f>IF(M78&lt;=servi4,((AK77*K28*($E$12-$M78+1))/$M78),IF(servi4&lt;$M78,((AK77*K28*($E$12-$M78+1))/servi4),0))</f>
        <v>#VALUE!</v>
      </c>
      <c r="AL78" s="79">
        <f>IF($M78&lt;servi4,((K28)^$M78)*(FACT($E$12))/(FACT($M78)*FACT($E$12-$M78)),0)</f>
        <v>0</v>
      </c>
      <c r="AM78" s="79">
        <f t="shared" si="73"/>
        <v>0</v>
      </c>
      <c r="AN78" s="79" t="e">
        <f t="shared" si="63"/>
        <v>#VALUE!</v>
      </c>
      <c r="AO78" s="97" t="e">
        <f t="shared" si="64"/>
        <v>#VALUE!</v>
      </c>
      <c r="AP78" s="96" t="e">
        <f>IF(M78&lt;=servi5,((AP77*K28*($E$12-$M78+1))/$M78),IF(servi5&lt;$M78,((AP77*K28*($E$12-$M78+1))/servi5),0))</f>
        <v>#VALUE!</v>
      </c>
      <c r="AQ78" s="79">
        <f>IF($M78&lt;servi5,((K28)^$M78)*(FACT($E$12))/(FACT($M78)*FACT($E$12-$M78)),0)</f>
        <v>0</v>
      </c>
      <c r="AR78" s="79">
        <f t="shared" si="74"/>
        <v>0</v>
      </c>
      <c r="AS78" s="79" t="e">
        <f t="shared" si="65"/>
        <v>#VALUE!</v>
      </c>
      <c r="AT78" s="97" t="e">
        <f t="shared" si="66"/>
        <v>#VALUE!</v>
      </c>
      <c r="AU78" s="96" t="e">
        <f>IF(M78&lt;=servi6,((AU77*K28*($E$12-$M78+1))/$M78),IF(servi6&lt;$M78,((AU77*K28*($E$12-$M78+1))/servi6),0))</f>
        <v>#VALUE!</v>
      </c>
      <c r="AV78" s="79">
        <f>IF($M78&lt;servi6,((K28)^$M78)*(FACT($E$12))/(FACT($M78)*FACT($E$12-$M78)),0)</f>
        <v>0</v>
      </c>
      <c r="AW78" s="79">
        <f t="shared" si="75"/>
        <v>0</v>
      </c>
      <c r="AX78" s="79" t="e">
        <f t="shared" si="67"/>
        <v>#VALUE!</v>
      </c>
      <c r="AY78" s="97" t="e">
        <f t="shared" si="68"/>
        <v>#VALUE!</v>
      </c>
    </row>
    <row r="79" spans="4:51" s="49" customFormat="1" ht="10.5" customHeight="1" x14ac:dyDescent="0.2">
      <c r="D79" s="82"/>
      <c r="J79" s="50"/>
      <c r="K79" s="51"/>
      <c r="M79" s="75">
        <v>71</v>
      </c>
      <c r="N79" s="78" t="str">
        <f>IF(E12&lt;&gt;"M",Q79,"")</f>
        <v/>
      </c>
      <c r="O79" s="78" t="e">
        <f t="shared" si="76"/>
        <v>#VALUE!</v>
      </c>
      <c r="Q79" s="96" t="e">
        <f>IF(M79&lt;=$E$8,((Q78*K28*($E$12-$M79+1))/$M79),IF($E$8&lt;$M79,((Q78*K28*($E$12-$M79+1))/$E$8),0))</f>
        <v>#VALUE!</v>
      </c>
      <c r="R79" s="79">
        <f>IF($M79&lt;$E$8,((K28)^$M79)*(FACT($E$12))/(FACT($M79)*FACT($E$12-$M79)),0)</f>
        <v>0</v>
      </c>
      <c r="S79" s="79">
        <f t="shared" si="69"/>
        <v>0</v>
      </c>
      <c r="T79" s="79" t="e">
        <f t="shared" ref="T79:T108" si="77">IF(AND($M79&gt;=$E$8,$M79&lt;=$E$12),((($K$28^($M79))*FACT($E$12))/((FACT($E$8))*(FACT(ABS($E$12-$M79)))*($E$8^($M79-$E$8)))),0)</f>
        <v>#VALUE!</v>
      </c>
      <c r="U79" s="97" t="e">
        <f t="shared" si="59"/>
        <v>#VALUE!</v>
      </c>
      <c r="V79" s="96" t="e">
        <f>IF(M79&lt;=servi1,((V78*K28*($E$12-$M79+1))/$M79),IF(servi1&lt;$M79,((V78*K28*($E$12-$M79+1))/servi1),0))</f>
        <v>#VALUE!</v>
      </c>
      <c r="W79" s="79">
        <f>IF($M79&lt;servi1,((K28)^$M79)*(FACT($E$12))/(FACT($M79)*FACT($E$12-$M79)),0)</f>
        <v>0</v>
      </c>
      <c r="X79" s="79">
        <f t="shared" si="70"/>
        <v>0</v>
      </c>
      <c r="Y79" s="79" t="e">
        <f>IF(AND($M79&gt;=servi1,$M79&lt;=$E$12),(((K28^($M79))*FACT($E$12))/((FACT(servi1))*(FACT($E$12-$M79))*(servi1^($M79-servi1)))),0)</f>
        <v>#VALUE!</v>
      </c>
      <c r="Z79" s="97" t="e">
        <f t="shared" si="60"/>
        <v>#VALUE!</v>
      </c>
      <c r="AA79" s="96" t="e">
        <f>IF(M79&lt;=servi2,((AA78*K28*($E$12-$M79+1))/$M79),IF(servi2&lt;$M79,((AA78*K28*($E$12-$M79+1))/servi2),0))</f>
        <v>#VALUE!</v>
      </c>
      <c r="AB79" s="79">
        <f>IF($M79&lt;servi2,((K28)^$M79)*(FACT($E$12))/(FACT($M79)*FACT($E$12-$M79)),0)</f>
        <v>0</v>
      </c>
      <c r="AC79" s="79">
        <f t="shared" si="71"/>
        <v>0</v>
      </c>
      <c r="AD79" s="79" t="e">
        <f>IF(AND($M79&gt;=servi2,$M79&lt;=$E$12),(((K28^($M79))*FACT($E$12))/((FACT(servi2))*(FACT($E$12-$M79))*(servi2^($M79-servi2)))),0)</f>
        <v>#VALUE!</v>
      </c>
      <c r="AE79" s="97" t="e">
        <f t="shared" si="61"/>
        <v>#VALUE!</v>
      </c>
      <c r="AF79" s="96" t="e">
        <f>IF(M79&lt;=servi3,((AF78*K28*($E$12-$M79+1))/$M79),IF(servi3&lt;$M79,((AF78*K28*($E$12-$M79+1))/servi3),0))</f>
        <v>#VALUE!</v>
      </c>
      <c r="AG79" s="79">
        <f>IF($M79&lt;servi3,((K28)^$M79)*(FACT($E$12))/(FACT($M79)*FACT($E$12-$M79)),0)</f>
        <v>0</v>
      </c>
      <c r="AH79" s="79">
        <f t="shared" si="72"/>
        <v>0</v>
      </c>
      <c r="AI79" s="79" t="e">
        <f>IF(AND($M79&gt;=servi3,$M79&lt;=$E$12),(((K28^($M79))*FACT($E$12))/((FACT(servi3))*(FACT($E$12-$M79))*(servi3^($M79-servi3)))),0)</f>
        <v>#VALUE!</v>
      </c>
      <c r="AJ79" s="97" t="e">
        <f t="shared" si="62"/>
        <v>#VALUE!</v>
      </c>
      <c r="AK79" s="96" t="e">
        <f>IF(M79&lt;=servi4,((AK78*K28*($E$12-$M79+1))/$M79),IF(servi4&lt;$M79,((AK78*K28*($E$12-$M79+1))/servi4),0))</f>
        <v>#VALUE!</v>
      </c>
      <c r="AL79" s="79">
        <f>IF($M79&lt;servi4,((K28)^$M79)*(FACT($E$12))/(FACT($M79)*FACT($E$12-$M79)),0)</f>
        <v>0</v>
      </c>
      <c r="AM79" s="79">
        <f t="shared" si="73"/>
        <v>0</v>
      </c>
      <c r="AN79" s="79" t="e">
        <f t="shared" si="63"/>
        <v>#VALUE!</v>
      </c>
      <c r="AO79" s="97" t="e">
        <f t="shared" si="64"/>
        <v>#VALUE!</v>
      </c>
      <c r="AP79" s="96" t="e">
        <f>IF(M79&lt;=servi5,((AP78*K28*($E$12-$M79+1))/$M79),IF(servi5&lt;$M79,((AP78*K28*($E$12-$M79+1))/servi5),0))</f>
        <v>#VALUE!</v>
      </c>
      <c r="AQ79" s="79">
        <f>IF($M79&lt;servi5,((K28)^$M79)*(FACT($E$12))/(FACT($M79)*FACT($E$12-$M79)),0)</f>
        <v>0</v>
      </c>
      <c r="AR79" s="79">
        <f t="shared" si="74"/>
        <v>0</v>
      </c>
      <c r="AS79" s="79" t="e">
        <f t="shared" si="65"/>
        <v>#VALUE!</v>
      </c>
      <c r="AT79" s="97" t="e">
        <f t="shared" si="66"/>
        <v>#VALUE!</v>
      </c>
      <c r="AU79" s="96" t="e">
        <f>IF(M79&lt;=servi6,((AU78*K28*($E$12-$M79+1))/$M79),IF(servi6&lt;$M79,((AU78*K28*($E$12-$M79+1))/servi6),0))</f>
        <v>#VALUE!</v>
      </c>
      <c r="AV79" s="79">
        <f>IF($M79&lt;servi6,((K28)^$M79)*(FACT($E$12))/(FACT($M79)*FACT($E$12-$M79)),0)</f>
        <v>0</v>
      </c>
      <c r="AW79" s="79">
        <f t="shared" si="75"/>
        <v>0</v>
      </c>
      <c r="AX79" s="79" t="e">
        <f t="shared" si="67"/>
        <v>#VALUE!</v>
      </c>
      <c r="AY79" s="97" t="e">
        <f t="shared" si="68"/>
        <v>#VALUE!</v>
      </c>
    </row>
    <row r="80" spans="4:51" s="49" customFormat="1" ht="10.5" customHeight="1" x14ac:dyDescent="0.2">
      <c r="D80" s="82"/>
      <c r="J80" s="50"/>
      <c r="K80" s="51"/>
      <c r="M80" s="75">
        <v>72</v>
      </c>
      <c r="N80" s="78" t="str">
        <f>IF(E12&lt;&gt;"M",Q80,"")</f>
        <v/>
      </c>
      <c r="O80" s="78" t="e">
        <f t="shared" si="76"/>
        <v>#VALUE!</v>
      </c>
      <c r="Q80" s="96" t="e">
        <f>IF(M80&lt;=$E$8,((Q79*K28*($E$12-$M80+1))/$M80),IF($E$8&lt;$M80,((Q79*K28*($E$12-$M80+1))/$E$8),0))</f>
        <v>#VALUE!</v>
      </c>
      <c r="R80" s="79">
        <f>IF($M80&lt;$E$8,((K28)^$M80)*(FACT($E$12))/(FACT($M80)*FACT($E$12-$M80)),0)</f>
        <v>0</v>
      </c>
      <c r="S80" s="79">
        <f t="shared" si="69"/>
        <v>0</v>
      </c>
      <c r="T80" s="79" t="e">
        <f t="shared" si="77"/>
        <v>#VALUE!</v>
      </c>
      <c r="U80" s="97" t="e">
        <f t="shared" si="59"/>
        <v>#VALUE!</v>
      </c>
      <c r="V80" s="96" t="e">
        <f>IF(M80&lt;=servi1,((V79*K28*($E$12-$M80+1))/$M80),IF(servi1&lt;$M80,((V79*K28*($E$12-$M80+1))/servi1),0))</f>
        <v>#VALUE!</v>
      </c>
      <c r="W80" s="79">
        <f>IF($M80&lt;servi1,((K28)^$M80)*(FACT($E$12))/(FACT($M80)*FACT($E$12-$M80)),0)</f>
        <v>0</v>
      </c>
      <c r="X80" s="79">
        <f t="shared" si="70"/>
        <v>0</v>
      </c>
      <c r="Y80" s="79" t="e">
        <f>IF(AND($M80&gt;=servi1,$M80&lt;=$E$12),(((K28^($M80))*FACT($E$12))/((FACT(servi1))*(FACT($E$12-$M80))*(servi1^($M80-servi1)))),0)</f>
        <v>#VALUE!</v>
      </c>
      <c r="Z80" s="97" t="e">
        <f t="shared" si="60"/>
        <v>#VALUE!</v>
      </c>
      <c r="AA80" s="96" t="e">
        <f>IF(M80&lt;=servi2,((AA79*K28*($E$12-$M80+1))/$M80),IF(servi2&lt;$M80,((AA79*K28*($E$12-$M80+1))/servi2),0))</f>
        <v>#VALUE!</v>
      </c>
      <c r="AB80" s="79">
        <f>IF($M80&lt;servi2,((K28)^$M80)*(FACT($E$12))/(FACT($M80)*FACT($E$12-$M80)),0)</f>
        <v>0</v>
      </c>
      <c r="AC80" s="79">
        <f t="shared" si="71"/>
        <v>0</v>
      </c>
      <c r="AD80" s="79" t="e">
        <f>IF(AND($M80&gt;=servi2,$M80&lt;=$E$12),(((K28^($M80))*FACT($E$12))/((FACT(servi2))*(FACT($E$12-$M80))*(servi2^($M80-servi2)))),0)</f>
        <v>#VALUE!</v>
      </c>
      <c r="AE80" s="97" t="e">
        <f t="shared" si="61"/>
        <v>#VALUE!</v>
      </c>
      <c r="AF80" s="96" t="e">
        <f>IF(M80&lt;=servi3,((AF79*K28*($E$12-$M80+1))/$M80),IF(servi3&lt;$M80,((AF79*K28*($E$12-$M80+1))/servi3),0))</f>
        <v>#VALUE!</v>
      </c>
      <c r="AG80" s="79">
        <f>IF($M80&lt;servi3,((K28)^$M80)*(FACT($E$12))/(FACT($M80)*FACT($E$12-$M80)),0)</f>
        <v>0</v>
      </c>
      <c r="AH80" s="79">
        <f t="shared" si="72"/>
        <v>0</v>
      </c>
      <c r="AI80" s="79" t="e">
        <f>IF(AND($M80&gt;=servi3,$M80&lt;=$E$12),(((K28^($M80))*FACT($E$12))/((FACT(servi3))*(FACT($E$12-$M80))*(servi3^($M80-servi3)))),0)</f>
        <v>#VALUE!</v>
      </c>
      <c r="AJ80" s="97" t="e">
        <f t="shared" si="62"/>
        <v>#VALUE!</v>
      </c>
      <c r="AK80" s="96" t="e">
        <f>IF(M80&lt;=servi4,((AK79*K28*($E$12-$M80+1))/$M80),IF(servi4&lt;$M80,((AK79*K28*($E$12-$M80+1))/servi4),0))</f>
        <v>#VALUE!</v>
      </c>
      <c r="AL80" s="79">
        <f>IF($M80&lt;servi4,((K28)^$M80)*(FACT($E$12))/(FACT($M80)*FACT($E$12-$M80)),0)</f>
        <v>0</v>
      </c>
      <c r="AM80" s="79">
        <f t="shared" si="73"/>
        <v>0</v>
      </c>
      <c r="AN80" s="79" t="e">
        <f t="shared" si="63"/>
        <v>#VALUE!</v>
      </c>
      <c r="AO80" s="97" t="e">
        <f t="shared" si="64"/>
        <v>#VALUE!</v>
      </c>
      <c r="AP80" s="96" t="e">
        <f>IF(M80&lt;=servi5,((AP79*K28*($E$12-$M80+1))/$M80),IF(servi5&lt;$M80,((AP79*K28*($E$12-$M80+1))/servi5),0))</f>
        <v>#VALUE!</v>
      </c>
      <c r="AQ80" s="79">
        <f>IF($M80&lt;servi5,((K28)^$M80)*(FACT($E$12))/(FACT($M80)*FACT($E$12-$M80)),0)</f>
        <v>0</v>
      </c>
      <c r="AR80" s="79">
        <f t="shared" si="74"/>
        <v>0</v>
      </c>
      <c r="AS80" s="79" t="e">
        <f t="shared" si="65"/>
        <v>#VALUE!</v>
      </c>
      <c r="AT80" s="97" t="e">
        <f t="shared" si="66"/>
        <v>#VALUE!</v>
      </c>
      <c r="AU80" s="96" t="e">
        <f>IF(M80&lt;=servi6,((AU79*K28*($E$12-$M80+1))/$M80),IF(servi6&lt;$M80,((AU79*K28*($E$12-$M80+1))/servi6),0))</f>
        <v>#VALUE!</v>
      </c>
      <c r="AV80" s="79">
        <f>IF($M80&lt;servi6,((K28)^$M80)*(FACT($E$12))/(FACT($M80)*FACT($E$12-$M80)),0)</f>
        <v>0</v>
      </c>
      <c r="AW80" s="79">
        <f t="shared" si="75"/>
        <v>0</v>
      </c>
      <c r="AX80" s="79" t="e">
        <f t="shared" si="67"/>
        <v>#VALUE!</v>
      </c>
      <c r="AY80" s="97" t="e">
        <f t="shared" si="68"/>
        <v>#VALUE!</v>
      </c>
    </row>
    <row r="81" spans="4:51" s="49" customFormat="1" ht="10.5" customHeight="1" x14ac:dyDescent="0.2">
      <c r="D81" s="82"/>
      <c r="J81" s="50"/>
      <c r="K81" s="51"/>
      <c r="M81" s="75">
        <v>73</v>
      </c>
      <c r="N81" s="78" t="str">
        <f>IF(E12&lt;&gt;"M",Q81,"")</f>
        <v/>
      </c>
      <c r="O81" s="78" t="e">
        <f t="shared" si="76"/>
        <v>#VALUE!</v>
      </c>
      <c r="Q81" s="96" t="e">
        <f>IF(M81&lt;=$E$8,((Q80*K28*($E$12-$M81+1))/$M81),IF($E$8&lt;$M81,((Q80*K28*($E$12-$M81+1))/$E$8),0))</f>
        <v>#VALUE!</v>
      </c>
      <c r="R81" s="79">
        <f>IF($M81&lt;$E$8,((K28)^$M81)*(FACT($E$12))/(FACT($M81)*FACT($E$12-$M81)),0)</f>
        <v>0</v>
      </c>
      <c r="S81" s="79">
        <f t="shared" si="69"/>
        <v>0</v>
      </c>
      <c r="T81" s="79" t="e">
        <f t="shared" si="77"/>
        <v>#VALUE!</v>
      </c>
      <c r="U81" s="97" t="e">
        <f t="shared" si="59"/>
        <v>#VALUE!</v>
      </c>
      <c r="V81" s="96" t="e">
        <f>IF(M81&lt;=servi1,((V80*K28*($E$12-$M81+1))/$M81),IF(servi1&lt;$M81,((V80*K28*($E$12-$M81+1))/servi1),0))</f>
        <v>#VALUE!</v>
      </c>
      <c r="W81" s="79">
        <f>IF($M81&lt;servi1,((K28)^$M81)*(FACT($E$12))/(FACT($M81)*FACT($E$12-$M81)),0)</f>
        <v>0</v>
      </c>
      <c r="X81" s="79">
        <f t="shared" si="70"/>
        <v>0</v>
      </c>
      <c r="Y81" s="79" t="e">
        <f>IF(AND($M81&gt;=servi1,$M81&lt;=$E$12),(((K28^($M81))*FACT($E$12))/((FACT(servi1))*(FACT($E$12-$M81))*(servi1^($M81-servi1)))),0)</f>
        <v>#VALUE!</v>
      </c>
      <c r="Z81" s="97" t="e">
        <f t="shared" si="60"/>
        <v>#VALUE!</v>
      </c>
      <c r="AA81" s="96" t="e">
        <f>IF(M81&lt;=servi2,((AA80*K28*($E$12-$M81+1))/$M81),IF(servi2&lt;$M81,((AA80*K28*($E$12-$M81+1))/servi2),0))</f>
        <v>#VALUE!</v>
      </c>
      <c r="AB81" s="79">
        <f>IF($M81&lt;servi2,((K28)^$M81)*(FACT($E$12))/(FACT($M81)*FACT($E$12-$M81)),0)</f>
        <v>0</v>
      </c>
      <c r="AC81" s="79">
        <f t="shared" si="71"/>
        <v>0</v>
      </c>
      <c r="AD81" s="79" t="e">
        <f>IF(AND($M81&gt;=servi2,$M81&lt;=$E$12),(((K28^($M81))*FACT($E$12))/((FACT(servi2))*(FACT($E$12-$M81))*(servi2^($M81-servi2)))),0)</f>
        <v>#VALUE!</v>
      </c>
      <c r="AE81" s="97" t="e">
        <f t="shared" si="61"/>
        <v>#VALUE!</v>
      </c>
      <c r="AF81" s="96" t="e">
        <f>IF(M81&lt;=servi3,((AF80*K28*($E$12-$M81+1))/$M81),IF(servi3&lt;$M81,((AF80*K28*($E$12-$M81+1))/servi3),0))</f>
        <v>#VALUE!</v>
      </c>
      <c r="AG81" s="79">
        <f>IF($M81&lt;servi3,((K28)^$M81)*(FACT($E$12))/(FACT($M81)*FACT($E$12-$M81)),0)</f>
        <v>0</v>
      </c>
      <c r="AH81" s="79">
        <f t="shared" si="72"/>
        <v>0</v>
      </c>
      <c r="AI81" s="79" t="e">
        <f>IF(AND($M81&gt;=servi3,$M81&lt;=$E$12),(((K28^($M81))*FACT($E$12))/((FACT(servi3))*(FACT($E$12-$M81))*(servi3^($M81-servi3)))),0)</f>
        <v>#VALUE!</v>
      </c>
      <c r="AJ81" s="97" t="e">
        <f t="shared" si="62"/>
        <v>#VALUE!</v>
      </c>
      <c r="AK81" s="96" t="e">
        <f>IF(M81&lt;=servi4,((AK80*K28*($E$12-$M81+1))/$M81),IF(servi4&lt;$M81,((AK80*K28*($E$12-$M81+1))/servi4),0))</f>
        <v>#VALUE!</v>
      </c>
      <c r="AL81" s="79">
        <f>IF($M81&lt;servi4,((K28)^$M81)*(FACT($E$12))/(FACT($M81)*FACT($E$12-$M81)),0)</f>
        <v>0</v>
      </c>
      <c r="AM81" s="79">
        <f t="shared" si="73"/>
        <v>0</v>
      </c>
      <c r="AN81" s="79" t="e">
        <f t="shared" si="63"/>
        <v>#VALUE!</v>
      </c>
      <c r="AO81" s="97" t="e">
        <f t="shared" si="64"/>
        <v>#VALUE!</v>
      </c>
      <c r="AP81" s="96" t="e">
        <f>IF(M81&lt;=servi5,((AP80*K28*($E$12-$M81+1))/$M81),IF(servi5&lt;$M81,((AP80*K28*($E$12-$M81+1))/servi5),0))</f>
        <v>#VALUE!</v>
      </c>
      <c r="AQ81" s="79">
        <f>IF($M81&lt;servi5,((K28)^$M81)*(FACT($E$12))/(FACT($M81)*FACT($E$12-$M81)),0)</f>
        <v>0</v>
      </c>
      <c r="AR81" s="79">
        <f t="shared" si="74"/>
        <v>0</v>
      </c>
      <c r="AS81" s="79" t="e">
        <f t="shared" si="65"/>
        <v>#VALUE!</v>
      </c>
      <c r="AT81" s="97" t="e">
        <f t="shared" si="66"/>
        <v>#VALUE!</v>
      </c>
      <c r="AU81" s="96" t="e">
        <f>IF(M81&lt;=servi6,((AU80*K28*($E$12-$M81+1))/$M81),IF(servi6&lt;$M81,((AU80*K28*($E$12-$M81+1))/servi6),0))</f>
        <v>#VALUE!</v>
      </c>
      <c r="AV81" s="79">
        <f>IF($M81&lt;servi6,((K28)^$M81)*(FACT($E$12))/(FACT($M81)*FACT($E$12-$M81)),0)</f>
        <v>0</v>
      </c>
      <c r="AW81" s="79">
        <f t="shared" si="75"/>
        <v>0</v>
      </c>
      <c r="AX81" s="79" t="e">
        <f t="shared" si="67"/>
        <v>#VALUE!</v>
      </c>
      <c r="AY81" s="97" t="e">
        <f t="shared" si="68"/>
        <v>#VALUE!</v>
      </c>
    </row>
    <row r="82" spans="4:51" s="49" customFormat="1" ht="10.5" customHeight="1" x14ac:dyDescent="0.2">
      <c r="D82" s="82"/>
      <c r="J82" s="50"/>
      <c r="K82" s="51"/>
      <c r="M82" s="75">
        <v>74</v>
      </c>
      <c r="N82" s="78" t="str">
        <f>IF(E12&lt;&gt;"M",Q82,"")</f>
        <v/>
      </c>
      <c r="O82" s="78" t="e">
        <f t="shared" si="76"/>
        <v>#VALUE!</v>
      </c>
      <c r="Q82" s="96" t="e">
        <f>IF(M82&lt;=$E$8,((Q81*K28*($E$12-$M82+1))/$M82),IF($E$8&lt;$M82,((Q81*K28*($E$12-$M82+1))/$E$8),0))</f>
        <v>#VALUE!</v>
      </c>
      <c r="R82" s="79">
        <f>IF($M82&lt;$E$8,((K28)^$M82)*(FACT($E$12))/(FACT($M82)*FACT($E$12-$M82)),0)</f>
        <v>0</v>
      </c>
      <c r="S82" s="79">
        <f t="shared" si="69"/>
        <v>0</v>
      </c>
      <c r="T82" s="79" t="e">
        <f t="shared" si="77"/>
        <v>#VALUE!</v>
      </c>
      <c r="U82" s="97" t="e">
        <f t="shared" si="59"/>
        <v>#VALUE!</v>
      </c>
      <c r="V82" s="96" t="e">
        <f>IF(M82&lt;=servi1,((V81*K28*($E$12-$M82+1))/$M82),IF(servi1&lt;$M82,((V81*K28*($E$12-$M82+1))/servi1),0))</f>
        <v>#VALUE!</v>
      </c>
      <c r="W82" s="79">
        <f>IF($M82&lt;servi1,((K28)^$M82)*(FACT($E$12))/(FACT($M82)*FACT($E$12-$M82)),0)</f>
        <v>0</v>
      </c>
      <c r="X82" s="79">
        <f t="shared" si="70"/>
        <v>0</v>
      </c>
      <c r="Y82" s="79" t="e">
        <f>IF(AND($M82&gt;=servi1,$M82&lt;=$E$12),(((K28^($M82))*FACT($E$12))/((FACT(servi1))*(FACT($E$12-$M82))*(servi1^($M82-servi1)))),0)</f>
        <v>#VALUE!</v>
      </c>
      <c r="Z82" s="97" t="e">
        <f t="shared" si="60"/>
        <v>#VALUE!</v>
      </c>
      <c r="AA82" s="96" t="e">
        <f>IF(M82&lt;=servi2,((AA81*K28*($E$12-$M82+1))/$M82),IF(servi2&lt;$M82,((AA81*K28*($E$12-$M82+1))/servi2),0))</f>
        <v>#VALUE!</v>
      </c>
      <c r="AB82" s="79">
        <f>IF($M82&lt;servi2,((K28)^$M82)*(FACT($E$12))/(FACT($M82)*FACT($E$12-$M82)),0)</f>
        <v>0</v>
      </c>
      <c r="AC82" s="79">
        <f t="shared" si="71"/>
        <v>0</v>
      </c>
      <c r="AD82" s="79" t="e">
        <f>IF(AND($M82&gt;=servi2,$M82&lt;=$E$12),(((K28^($M82))*FACT($E$12))/((FACT(servi2))*(FACT($E$12-$M82))*(servi2^($M82-servi2)))),0)</f>
        <v>#VALUE!</v>
      </c>
      <c r="AE82" s="97" t="e">
        <f t="shared" si="61"/>
        <v>#VALUE!</v>
      </c>
      <c r="AF82" s="96" t="e">
        <f>IF(M82&lt;=servi3,((AF81*K28*($E$12-$M82+1))/$M82),IF(servi3&lt;$M82,((AF81*K28*($E$12-$M82+1))/servi3),0))</f>
        <v>#VALUE!</v>
      </c>
      <c r="AG82" s="79">
        <f>IF($M82&lt;servi3,((K28)^$M82)*(FACT($E$12))/(FACT($M82)*FACT($E$12-$M82)),0)</f>
        <v>0</v>
      </c>
      <c r="AH82" s="79">
        <f t="shared" si="72"/>
        <v>0</v>
      </c>
      <c r="AI82" s="79" t="e">
        <f>IF(AND($M82&gt;=servi3,$M82&lt;=$E$12),(((K28^($M82))*FACT($E$12))/((FACT(servi3))*(FACT($E$12-$M82))*(servi3^($M82-servi3)))),0)</f>
        <v>#VALUE!</v>
      </c>
      <c r="AJ82" s="97" t="e">
        <f t="shared" si="62"/>
        <v>#VALUE!</v>
      </c>
      <c r="AK82" s="96" t="e">
        <f>IF(M82&lt;=servi4,((AK81*K28*($E$12-$M82+1))/$M82),IF(servi4&lt;$M82,((AK81*K28*($E$12-$M82+1))/servi4),0))</f>
        <v>#VALUE!</v>
      </c>
      <c r="AL82" s="79">
        <f>IF($M82&lt;servi4,((K28)^$M82)*(FACT($E$12))/(FACT($M82)*FACT($E$12-$M82)),0)</f>
        <v>0</v>
      </c>
      <c r="AM82" s="79">
        <f t="shared" si="73"/>
        <v>0</v>
      </c>
      <c r="AN82" s="79" t="e">
        <f t="shared" si="63"/>
        <v>#VALUE!</v>
      </c>
      <c r="AO82" s="97" t="e">
        <f t="shared" si="64"/>
        <v>#VALUE!</v>
      </c>
      <c r="AP82" s="96" t="e">
        <f>IF(M82&lt;=servi5,((AP81*K28*($E$12-$M82+1))/$M82),IF(servi5&lt;$M82,((AP81*K28*($E$12-$M82+1))/servi5),0))</f>
        <v>#VALUE!</v>
      </c>
      <c r="AQ82" s="79">
        <f>IF($M82&lt;servi5,((K28)^$M82)*(FACT($E$12))/(FACT($M82)*FACT($E$12-$M82)),0)</f>
        <v>0</v>
      </c>
      <c r="AR82" s="79">
        <f t="shared" si="74"/>
        <v>0</v>
      </c>
      <c r="AS82" s="79" t="e">
        <f t="shared" si="65"/>
        <v>#VALUE!</v>
      </c>
      <c r="AT82" s="97" t="e">
        <f t="shared" si="66"/>
        <v>#VALUE!</v>
      </c>
      <c r="AU82" s="96" t="e">
        <f>IF(M82&lt;=servi6,((AU81*K28*($E$12-$M82+1))/$M82),IF(servi6&lt;$M82,((AU81*K28*($E$12-$M82+1))/servi6),0))</f>
        <v>#VALUE!</v>
      </c>
      <c r="AV82" s="79">
        <f>IF($M82&lt;servi6,((K28)^$M82)*(FACT($E$12))/(FACT($M82)*FACT($E$12-$M82)),0)</f>
        <v>0</v>
      </c>
      <c r="AW82" s="79">
        <f t="shared" si="75"/>
        <v>0</v>
      </c>
      <c r="AX82" s="79" t="e">
        <f t="shared" si="67"/>
        <v>#VALUE!</v>
      </c>
      <c r="AY82" s="97" t="e">
        <f t="shared" si="68"/>
        <v>#VALUE!</v>
      </c>
    </row>
    <row r="83" spans="4:51" s="49" customFormat="1" ht="10.5" customHeight="1" x14ac:dyDescent="0.2">
      <c r="D83" s="82"/>
      <c r="J83" s="50"/>
      <c r="K83" s="51"/>
      <c r="M83" s="75">
        <v>75</v>
      </c>
      <c r="N83" s="78" t="str">
        <f>IF(E12&lt;&gt;"M",Q83,"")</f>
        <v/>
      </c>
      <c r="O83" s="78" t="e">
        <f t="shared" si="76"/>
        <v>#VALUE!</v>
      </c>
      <c r="Q83" s="96" t="e">
        <f>IF(M83&lt;=$E$8,((Q82*K28*($E$12-$M83+1))/$M83),IF($E$8&lt;$M83,((Q82*K28*($E$12-$M83+1))/$E$8),0))</f>
        <v>#VALUE!</v>
      </c>
      <c r="R83" s="79">
        <f>IF($M83&lt;$E$8,((K28)^$M83)*(FACT($E$12))/(FACT($M83)*FACT($E$12-$M83)),0)</f>
        <v>0</v>
      </c>
      <c r="S83" s="79">
        <f t="shared" si="69"/>
        <v>0</v>
      </c>
      <c r="T83" s="79" t="e">
        <f t="shared" si="77"/>
        <v>#VALUE!</v>
      </c>
      <c r="U83" s="97" t="e">
        <f t="shared" si="59"/>
        <v>#VALUE!</v>
      </c>
      <c r="V83" s="96" t="e">
        <f>IF(M83&lt;=servi1,((V82*K28*($E$12-$M83+1))/$M83),IF(servi1&lt;$M83,((V82*K28*($E$12-$M83+1))/servi1),0))</f>
        <v>#VALUE!</v>
      </c>
      <c r="W83" s="79">
        <f>IF($M83&lt;servi1,((K28)^$M83)*(FACT($E$12))/(FACT($M83)*FACT($E$12-$M83)),0)</f>
        <v>0</v>
      </c>
      <c r="X83" s="79">
        <f t="shared" si="70"/>
        <v>0</v>
      </c>
      <c r="Y83" s="79" t="e">
        <f>IF(AND($M83&gt;=servi1,$M83&lt;=$E$12),(((K28^($M83))*FACT($E$12))/((FACT(servi1))*(FACT($E$12-$M83))*(servi1^($M83-servi1)))),0)</f>
        <v>#VALUE!</v>
      </c>
      <c r="Z83" s="97" t="e">
        <f t="shared" si="60"/>
        <v>#VALUE!</v>
      </c>
      <c r="AA83" s="96" t="e">
        <f>IF(M83&lt;=servi2,((AA82*K28*($E$12-$M83+1))/$M83),IF(servi2&lt;$M83,((AA82*K28*($E$12-$M83+1))/servi2),0))</f>
        <v>#VALUE!</v>
      </c>
      <c r="AB83" s="79">
        <f>IF($M83&lt;servi2,((K28)^$M83)*(FACT($E$12))/(FACT($M83)*FACT($E$12-$M83)),0)</f>
        <v>0</v>
      </c>
      <c r="AC83" s="79">
        <f t="shared" si="71"/>
        <v>0</v>
      </c>
      <c r="AD83" s="79" t="e">
        <f>IF(AND($M83&gt;=servi2,$M83&lt;=$E$12),(((K28^($M83))*FACT($E$12))/((FACT(servi2))*(FACT($E$12-$M83))*(servi2^($M83-servi2)))),0)</f>
        <v>#VALUE!</v>
      </c>
      <c r="AE83" s="97" t="e">
        <f t="shared" si="61"/>
        <v>#VALUE!</v>
      </c>
      <c r="AF83" s="96" t="e">
        <f>IF(M83&lt;=servi3,((AF82*K28*($E$12-$M83+1))/$M83),IF(servi3&lt;$M83,((AF82*K28*($E$12-$M83+1))/servi3),0))</f>
        <v>#VALUE!</v>
      </c>
      <c r="AG83" s="79">
        <f>IF($M83&lt;servi3,((K28)^$M83)*(FACT($E$12))/(FACT($M83)*FACT($E$12-$M83)),0)</f>
        <v>0</v>
      </c>
      <c r="AH83" s="79">
        <f t="shared" si="72"/>
        <v>0</v>
      </c>
      <c r="AI83" s="79" t="e">
        <f>IF(AND($M83&gt;=servi3,$M83&lt;=$E$12),(((K28^($M83))*FACT($E$12))/((FACT(servi3))*(FACT($E$12-$M83))*(servi3^($M83-servi3)))),0)</f>
        <v>#VALUE!</v>
      </c>
      <c r="AJ83" s="97" t="e">
        <f t="shared" si="62"/>
        <v>#VALUE!</v>
      </c>
      <c r="AK83" s="96" t="e">
        <f>IF(M83&lt;=servi4,((AK82*K28*($E$12-$M83+1))/$M83),IF(servi4&lt;$M83,((AK82*K28*($E$12-$M83+1))/servi4),0))</f>
        <v>#VALUE!</v>
      </c>
      <c r="AL83" s="79">
        <f>IF($M83&lt;servi4,((K28)^$M83)*(FACT($E$12))/(FACT($M83)*FACT($E$12-$M83)),0)</f>
        <v>0</v>
      </c>
      <c r="AM83" s="79">
        <f t="shared" si="73"/>
        <v>0</v>
      </c>
      <c r="AN83" s="79" t="e">
        <f t="shared" si="63"/>
        <v>#VALUE!</v>
      </c>
      <c r="AO83" s="97" t="e">
        <f t="shared" si="64"/>
        <v>#VALUE!</v>
      </c>
      <c r="AP83" s="96" t="e">
        <f>IF(M83&lt;=servi5,((AP82*K28*($E$12-$M83+1))/$M83),IF(servi5&lt;$M83,((AP82*K28*($E$12-$M83+1))/servi5),0))</f>
        <v>#VALUE!</v>
      </c>
      <c r="AQ83" s="79">
        <f>IF($M83&lt;servi5,((K28)^$M83)*(FACT($E$12))/(FACT($M83)*FACT($E$12-$M83)),0)</f>
        <v>0</v>
      </c>
      <c r="AR83" s="79">
        <f t="shared" si="74"/>
        <v>0</v>
      </c>
      <c r="AS83" s="79" t="e">
        <f t="shared" si="65"/>
        <v>#VALUE!</v>
      </c>
      <c r="AT83" s="97" t="e">
        <f t="shared" si="66"/>
        <v>#VALUE!</v>
      </c>
      <c r="AU83" s="96" t="e">
        <f>IF(M83&lt;=servi6,((AU82*K28*($E$12-$M83+1))/$M83),IF(servi6&lt;$M83,((AU82*K28*($E$12-$M83+1))/servi6),0))</f>
        <v>#VALUE!</v>
      </c>
      <c r="AV83" s="79">
        <f>IF($M83&lt;servi6,((K28)^$M83)*(FACT($E$12))/(FACT($M83)*FACT($E$12-$M83)),0)</f>
        <v>0</v>
      </c>
      <c r="AW83" s="79">
        <f t="shared" si="75"/>
        <v>0</v>
      </c>
      <c r="AX83" s="79" t="e">
        <f t="shared" si="67"/>
        <v>#VALUE!</v>
      </c>
      <c r="AY83" s="97" t="e">
        <f t="shared" si="68"/>
        <v>#VALUE!</v>
      </c>
    </row>
    <row r="84" spans="4:51" s="49" customFormat="1" ht="10.5" customHeight="1" x14ac:dyDescent="0.2">
      <c r="D84" s="82"/>
      <c r="J84" s="50"/>
      <c r="K84" s="51"/>
      <c r="M84" s="75">
        <v>76</v>
      </c>
      <c r="N84" s="78" t="str">
        <f>IF(E12&lt;&gt;"M",Q84,"")</f>
        <v/>
      </c>
      <c r="O84" s="78" t="e">
        <f t="shared" si="76"/>
        <v>#VALUE!</v>
      </c>
      <c r="Q84" s="96" t="e">
        <f>IF(M84&lt;=$E$8,((Q83*K28*($E$12-$M84+1))/$M84),IF($E$8&lt;$M84,((Q83*K28*($E$12-$M84+1))/$E$8),0))</f>
        <v>#VALUE!</v>
      </c>
      <c r="R84" s="79">
        <f>IF($M84&lt;$E$8,((K28)^$M84)*(FACT($E$12))/(FACT($M84)*FACT($E$12-$M84)),0)</f>
        <v>0</v>
      </c>
      <c r="S84" s="79">
        <f t="shared" si="69"/>
        <v>0</v>
      </c>
      <c r="T84" s="79" t="e">
        <f t="shared" si="77"/>
        <v>#VALUE!</v>
      </c>
      <c r="U84" s="97" t="e">
        <f t="shared" si="59"/>
        <v>#VALUE!</v>
      </c>
      <c r="V84" s="96" t="e">
        <f>IF(M84&lt;=servi1,((V83*K28*($E$12-$M84+1))/$M84),IF(servi1&lt;$M84,((V83*K28*($E$12-$M84+1))/servi1),0))</f>
        <v>#VALUE!</v>
      </c>
      <c r="W84" s="79">
        <f>IF($M84&lt;servi1,((K28)^$M84)*(FACT($E$12))/(FACT($M84)*FACT($E$12-$M84)),0)</f>
        <v>0</v>
      </c>
      <c r="X84" s="79">
        <f t="shared" si="70"/>
        <v>0</v>
      </c>
      <c r="Y84" s="79" t="e">
        <f>IF(AND($M84&gt;=servi1,$M84&lt;=$E$12),(((K28^($M84))*FACT($E$12))/((FACT(servi1))*(FACT($E$12-$M84))*(servi1^($M84-servi1)))),0)</f>
        <v>#VALUE!</v>
      </c>
      <c r="Z84" s="97" t="e">
        <f t="shared" si="60"/>
        <v>#VALUE!</v>
      </c>
      <c r="AA84" s="96" t="e">
        <f>IF(M84&lt;=servi2,((AA83*K28*($E$12-$M84+1))/$M84),IF(servi2&lt;$M84,((AA83*K28*($E$12-$M84+1))/servi2),0))</f>
        <v>#VALUE!</v>
      </c>
      <c r="AB84" s="79">
        <f>IF($M84&lt;servi2,((K28)^$M84)*(FACT($E$12))/(FACT($M84)*FACT($E$12-$M84)),0)</f>
        <v>0</v>
      </c>
      <c r="AC84" s="79">
        <f t="shared" si="71"/>
        <v>0</v>
      </c>
      <c r="AD84" s="79" t="e">
        <f>IF(AND($M84&gt;=servi2,$M84&lt;=$E$12),(((K28^($M84))*FACT($E$12))/((FACT(servi2))*(FACT($E$12-$M84))*(servi2^($M84-servi2)))),0)</f>
        <v>#VALUE!</v>
      </c>
      <c r="AE84" s="97" t="e">
        <f t="shared" si="61"/>
        <v>#VALUE!</v>
      </c>
      <c r="AF84" s="96" t="e">
        <f>IF(M84&lt;=servi3,((AF83*K28*($E$12-$M84+1))/$M84),IF(servi3&lt;$M84,((AF83*K28*($E$12-$M84+1))/servi3),0))</f>
        <v>#VALUE!</v>
      </c>
      <c r="AG84" s="79">
        <f>IF($M84&lt;servi3,((K28)^$M84)*(FACT($E$12))/(FACT($M84)*FACT($E$12-$M84)),0)</f>
        <v>0</v>
      </c>
      <c r="AH84" s="79">
        <f t="shared" si="72"/>
        <v>0</v>
      </c>
      <c r="AI84" s="79" t="e">
        <f>IF(AND($M84&gt;=servi3,$M84&lt;=$E$12),(((K28^($M84))*FACT($E$12))/((FACT(servi3))*(FACT($E$12-$M84))*(servi3^($M84-servi3)))),0)</f>
        <v>#VALUE!</v>
      </c>
      <c r="AJ84" s="97" t="e">
        <f t="shared" si="62"/>
        <v>#VALUE!</v>
      </c>
      <c r="AK84" s="96" t="e">
        <f>IF(M84&lt;=servi4,((AK83*K28*($E$12-$M84+1))/$M84),IF(servi4&lt;$M84,((AK83*K28*($E$12-$M84+1))/servi4),0))</f>
        <v>#VALUE!</v>
      </c>
      <c r="AL84" s="79">
        <f>IF($M84&lt;servi4,((K28)^$M84)*(FACT($E$12))/(FACT($M84)*FACT($E$12-$M84)),0)</f>
        <v>0</v>
      </c>
      <c r="AM84" s="79">
        <f t="shared" si="73"/>
        <v>0</v>
      </c>
      <c r="AN84" s="79" t="e">
        <f t="shared" si="63"/>
        <v>#VALUE!</v>
      </c>
      <c r="AO84" s="97" t="e">
        <f t="shared" si="64"/>
        <v>#VALUE!</v>
      </c>
      <c r="AP84" s="96" t="e">
        <f>IF(M84&lt;=servi5,((AP83*K28*($E$12-$M84+1))/$M84),IF(servi5&lt;$M84,((AP83*K28*($E$12-$M84+1))/servi5),0))</f>
        <v>#VALUE!</v>
      </c>
      <c r="AQ84" s="79">
        <f>IF($M84&lt;servi5,((K28)^$M84)*(FACT($E$12))/(FACT($M84)*FACT($E$12-$M84)),0)</f>
        <v>0</v>
      </c>
      <c r="AR84" s="79">
        <f t="shared" si="74"/>
        <v>0</v>
      </c>
      <c r="AS84" s="79" t="e">
        <f t="shared" si="65"/>
        <v>#VALUE!</v>
      </c>
      <c r="AT84" s="97" t="e">
        <f t="shared" si="66"/>
        <v>#VALUE!</v>
      </c>
      <c r="AU84" s="96" t="e">
        <f>IF(M84&lt;=servi6,((AU83*K28*($E$12-$M84+1))/$M84),IF(servi6&lt;$M84,((AU83*K28*($E$12-$M84+1))/servi6),0))</f>
        <v>#VALUE!</v>
      </c>
      <c r="AV84" s="79">
        <f>IF($M84&lt;servi6,((K28)^$M84)*(FACT($E$12))/(FACT($M84)*FACT($E$12-$M84)),0)</f>
        <v>0</v>
      </c>
      <c r="AW84" s="79">
        <f t="shared" si="75"/>
        <v>0</v>
      </c>
      <c r="AX84" s="79" t="e">
        <f t="shared" si="67"/>
        <v>#VALUE!</v>
      </c>
      <c r="AY84" s="97" t="e">
        <f t="shared" si="68"/>
        <v>#VALUE!</v>
      </c>
    </row>
    <row r="85" spans="4:51" s="49" customFormat="1" ht="10.5" customHeight="1" x14ac:dyDescent="0.2">
      <c r="D85" s="82"/>
      <c r="J85" s="50"/>
      <c r="K85" s="51"/>
      <c r="M85" s="75">
        <v>77</v>
      </c>
      <c r="N85" s="78" t="str">
        <f>IF(E12&lt;&gt;"M",Q85,"")</f>
        <v/>
      </c>
      <c r="O85" s="78" t="e">
        <f t="shared" si="76"/>
        <v>#VALUE!</v>
      </c>
      <c r="Q85" s="96" t="e">
        <f>IF(M85&lt;=$E$8,((Q84*K28*($E$12-$M85+1))/$M85),IF($E$8&lt;$M85,((Q84*K28*($E$12-$M85+1))/$E$8),0))</f>
        <v>#VALUE!</v>
      </c>
      <c r="R85" s="79">
        <f>IF($M85&lt;$E$8,((K28)^$M85)*(FACT($E$12))/(FACT($M85)*FACT($E$12-$M85)),0)</f>
        <v>0</v>
      </c>
      <c r="S85" s="79">
        <f t="shared" si="69"/>
        <v>0</v>
      </c>
      <c r="T85" s="79" t="e">
        <f t="shared" si="77"/>
        <v>#VALUE!</v>
      </c>
      <c r="U85" s="97" t="e">
        <f t="shared" si="59"/>
        <v>#VALUE!</v>
      </c>
      <c r="V85" s="96" t="e">
        <f>IF(M85&lt;=servi1,((V84*K28*($E$12-$M85+1))/$M85),IF(servi1&lt;$M85,((V84*K28*($E$12-$M85+1))/servi1),0))</f>
        <v>#VALUE!</v>
      </c>
      <c r="W85" s="79">
        <f>IF($M85&lt;servi1,((K28)^$M85)*(FACT($E$12))/(FACT($M85)*FACT($E$12-$M85)),0)</f>
        <v>0</v>
      </c>
      <c r="X85" s="79">
        <f t="shared" si="70"/>
        <v>0</v>
      </c>
      <c r="Y85" s="79" t="e">
        <f>IF(AND($M85&gt;=servi1,$M85&lt;=$E$12),(((K28^($M85))*FACT($E$12))/((FACT(servi1))*(FACT($E$12-$M85))*(servi1^($M85-servi1)))),0)</f>
        <v>#VALUE!</v>
      </c>
      <c r="Z85" s="97" t="e">
        <f t="shared" si="60"/>
        <v>#VALUE!</v>
      </c>
      <c r="AA85" s="96" t="e">
        <f>IF(M85&lt;=servi2,((AA84*K28*($E$12-$M85+1))/$M85),IF(servi2&lt;$M85,((AA84*K28*($E$12-$M85+1))/servi2),0))</f>
        <v>#VALUE!</v>
      </c>
      <c r="AB85" s="79">
        <f>IF($M85&lt;servi2,((K28)^$M85)*(FACT($E$12))/(FACT($M85)*FACT($E$12-$M85)),0)</f>
        <v>0</v>
      </c>
      <c r="AC85" s="79">
        <f t="shared" si="71"/>
        <v>0</v>
      </c>
      <c r="AD85" s="79" t="e">
        <f>IF(AND($M85&gt;=servi2,$M85&lt;=$E$12),(((K28^($M85))*FACT($E$12))/((FACT(servi2))*(FACT($E$12-$M85))*(servi2^($M85-servi2)))),0)</f>
        <v>#VALUE!</v>
      </c>
      <c r="AE85" s="97" t="e">
        <f t="shared" si="61"/>
        <v>#VALUE!</v>
      </c>
      <c r="AF85" s="96" t="e">
        <f>IF(M85&lt;=servi3,((AF84*K28*($E$12-$M85+1))/$M85),IF(servi3&lt;$M85,((AF84*K28*($E$12-$M85+1))/servi3),0))</f>
        <v>#VALUE!</v>
      </c>
      <c r="AG85" s="79">
        <f>IF($M85&lt;servi3,((K28)^$M85)*(FACT($E$12))/(FACT($M85)*FACT($E$12-$M85)),0)</f>
        <v>0</v>
      </c>
      <c r="AH85" s="79">
        <f t="shared" si="72"/>
        <v>0</v>
      </c>
      <c r="AI85" s="79" t="e">
        <f>IF(AND($M85&gt;=servi3,$M85&lt;=$E$12),(((K28^($M85))*FACT($E$12))/((FACT(servi3))*(FACT($E$12-$M85))*(servi3^($M85-servi3)))),0)</f>
        <v>#VALUE!</v>
      </c>
      <c r="AJ85" s="97" t="e">
        <f t="shared" si="62"/>
        <v>#VALUE!</v>
      </c>
      <c r="AK85" s="96" t="e">
        <f>IF(M85&lt;=servi4,((AK84*K28*($E$12-$M85+1))/$M85),IF(servi4&lt;$M85,((AK84*K28*($E$12-$M85+1))/servi4),0))</f>
        <v>#VALUE!</v>
      </c>
      <c r="AL85" s="79">
        <f>IF($M85&lt;servi4,((K28)^$M85)*(FACT($E$12))/(FACT($M85)*FACT($E$12-$M85)),0)</f>
        <v>0</v>
      </c>
      <c r="AM85" s="79">
        <f t="shared" si="73"/>
        <v>0</v>
      </c>
      <c r="AN85" s="79" t="e">
        <f t="shared" si="63"/>
        <v>#VALUE!</v>
      </c>
      <c r="AO85" s="97" t="e">
        <f t="shared" si="64"/>
        <v>#VALUE!</v>
      </c>
      <c r="AP85" s="96" t="e">
        <f>IF(M85&lt;=servi5,((AP84*K28*($E$12-$M85+1))/$M85),IF(servi5&lt;$M85,((AP84*K28*($E$12-$M85+1))/servi5),0))</f>
        <v>#VALUE!</v>
      </c>
      <c r="AQ85" s="79">
        <f>IF($M85&lt;servi5,((K28)^$M85)*(FACT($E$12))/(FACT($M85)*FACT($E$12-$M85)),0)</f>
        <v>0</v>
      </c>
      <c r="AR85" s="79">
        <f t="shared" si="74"/>
        <v>0</v>
      </c>
      <c r="AS85" s="79" t="e">
        <f t="shared" si="65"/>
        <v>#VALUE!</v>
      </c>
      <c r="AT85" s="97" t="e">
        <f t="shared" si="66"/>
        <v>#VALUE!</v>
      </c>
      <c r="AU85" s="96" t="e">
        <f>IF(M85&lt;=servi6,((AU84*K28*($E$12-$M85+1))/$M85),IF(servi6&lt;$M85,((AU84*K28*($E$12-$M85+1))/servi6),0))</f>
        <v>#VALUE!</v>
      </c>
      <c r="AV85" s="79">
        <f>IF($M85&lt;servi6,((K28)^$M85)*(FACT($E$12))/(FACT($M85)*FACT($E$12-$M85)),0)</f>
        <v>0</v>
      </c>
      <c r="AW85" s="79">
        <f t="shared" si="75"/>
        <v>0</v>
      </c>
      <c r="AX85" s="79" t="e">
        <f t="shared" si="67"/>
        <v>#VALUE!</v>
      </c>
      <c r="AY85" s="97" t="e">
        <f t="shared" si="68"/>
        <v>#VALUE!</v>
      </c>
    </row>
    <row r="86" spans="4:51" s="49" customFormat="1" ht="10.5" customHeight="1" x14ac:dyDescent="0.2">
      <c r="D86" s="82"/>
      <c r="J86" s="50"/>
      <c r="K86" s="51"/>
      <c r="M86" s="75">
        <v>78</v>
      </c>
      <c r="N86" s="78" t="str">
        <f>IF(E12&lt;&gt;"M",Q86,"")</f>
        <v/>
      </c>
      <c r="O86" s="78" t="e">
        <f t="shared" si="76"/>
        <v>#VALUE!</v>
      </c>
      <c r="Q86" s="96" t="e">
        <f>IF(M86&lt;=$E$8,((Q85*K28*($E$12-$M86+1))/$M86),IF($E$8&lt;$M86,((Q85*K28*($E$12-$M86+1))/$E$8),0))</f>
        <v>#VALUE!</v>
      </c>
      <c r="R86" s="79">
        <f>IF($M86&lt;$E$8,((K28)^$M86)*(FACT($E$12))/(FACT($M86)*FACT($E$12-$M86)),0)</f>
        <v>0</v>
      </c>
      <c r="S86" s="79">
        <f t="shared" si="69"/>
        <v>0</v>
      </c>
      <c r="T86" s="79" t="e">
        <f t="shared" si="77"/>
        <v>#VALUE!</v>
      </c>
      <c r="U86" s="97" t="e">
        <f t="shared" si="59"/>
        <v>#VALUE!</v>
      </c>
      <c r="V86" s="96" t="e">
        <f>IF(M86&lt;=servi1,((V85*K28*($E$12-$M86+1))/$M86),IF(servi1&lt;$M86,((V85*K28*($E$12-$M86+1))/servi1),0))</f>
        <v>#VALUE!</v>
      </c>
      <c r="W86" s="79">
        <f>IF($M86&lt;servi1,((K28)^$M86)*(FACT($E$12))/(FACT($M86)*FACT($E$12-$M86)),0)</f>
        <v>0</v>
      </c>
      <c r="X86" s="79">
        <f t="shared" si="70"/>
        <v>0</v>
      </c>
      <c r="Y86" s="79" t="e">
        <f>IF(AND($M86&gt;=servi1,$M86&lt;=$E$12),(((K28^($M86))*FACT($E$12))/((FACT(servi1))*(FACT($E$12-$M86))*(servi1^($M86-servi1)))),0)</f>
        <v>#VALUE!</v>
      </c>
      <c r="Z86" s="97" t="e">
        <f t="shared" si="60"/>
        <v>#VALUE!</v>
      </c>
      <c r="AA86" s="96" t="e">
        <f>IF(M86&lt;=servi2,((AA85*K28*($E$12-$M86+1))/$M86),IF(servi2&lt;$M86,((AA85*K28*($E$12-$M86+1))/servi2),0))</f>
        <v>#VALUE!</v>
      </c>
      <c r="AB86" s="79">
        <f>IF($M86&lt;servi2,((K28)^$M86)*(FACT($E$12))/(FACT($M86)*FACT($E$12-$M86)),0)</f>
        <v>0</v>
      </c>
      <c r="AC86" s="79">
        <f t="shared" si="71"/>
        <v>0</v>
      </c>
      <c r="AD86" s="79" t="e">
        <f>IF(AND($M86&gt;=servi2,$M86&lt;=$E$12),(((K28^($M86))*FACT($E$12))/((FACT(servi2))*(FACT($E$12-$M86))*(servi2^($M86-servi2)))),0)</f>
        <v>#VALUE!</v>
      </c>
      <c r="AE86" s="97" t="e">
        <f t="shared" si="61"/>
        <v>#VALUE!</v>
      </c>
      <c r="AF86" s="96" t="e">
        <f>IF(M86&lt;=servi3,((AF85*K28*($E$12-$M86+1))/$M86),IF(servi3&lt;$M86,((AF85*K28*($E$12-$M86+1))/servi3),0))</f>
        <v>#VALUE!</v>
      </c>
      <c r="AG86" s="79">
        <f>IF($M86&lt;servi3,((K28)^$M86)*(FACT($E$12))/(FACT($M86)*FACT($E$12-$M86)),0)</f>
        <v>0</v>
      </c>
      <c r="AH86" s="79">
        <f t="shared" si="72"/>
        <v>0</v>
      </c>
      <c r="AI86" s="79" t="e">
        <f>IF(AND($M86&gt;=servi3,$M86&lt;=$E$12),(((K28^($M86))*FACT($E$12))/((FACT(servi3))*(FACT($E$12-$M86))*(servi3^($M86-servi3)))),0)</f>
        <v>#VALUE!</v>
      </c>
      <c r="AJ86" s="97" t="e">
        <f t="shared" si="62"/>
        <v>#VALUE!</v>
      </c>
      <c r="AK86" s="96" t="e">
        <f>IF(M86&lt;=servi4,((AK85*K28*($E$12-$M86+1))/$M86),IF(servi4&lt;$M86,((AK85*K28*($E$12-$M86+1))/servi4),0))</f>
        <v>#VALUE!</v>
      </c>
      <c r="AL86" s="79">
        <f>IF($M86&lt;servi4,((K28)^$M86)*(FACT($E$12))/(FACT($M86)*FACT($E$12-$M86)),0)</f>
        <v>0</v>
      </c>
      <c r="AM86" s="79">
        <f t="shared" si="73"/>
        <v>0</v>
      </c>
      <c r="AN86" s="79" t="e">
        <f t="shared" si="63"/>
        <v>#VALUE!</v>
      </c>
      <c r="AO86" s="97" t="e">
        <f t="shared" si="64"/>
        <v>#VALUE!</v>
      </c>
      <c r="AP86" s="96" t="e">
        <f>IF(M86&lt;=servi5,((AP85*K28*($E$12-$M86+1))/$M86),IF(servi5&lt;$M86,((AP85*K28*($E$12-$M86+1))/servi5),0))</f>
        <v>#VALUE!</v>
      </c>
      <c r="AQ86" s="79">
        <f>IF($M86&lt;servi5,((K28)^$M86)*(FACT($E$12))/(FACT($M86)*FACT($E$12-$M86)),0)</f>
        <v>0</v>
      </c>
      <c r="AR86" s="79">
        <f t="shared" si="74"/>
        <v>0</v>
      </c>
      <c r="AS86" s="79" t="e">
        <f t="shared" si="65"/>
        <v>#VALUE!</v>
      </c>
      <c r="AT86" s="97" t="e">
        <f t="shared" si="66"/>
        <v>#VALUE!</v>
      </c>
      <c r="AU86" s="96" t="e">
        <f>IF(M86&lt;=servi6,((AU85*K28*($E$12-$M86+1))/$M86),IF(servi6&lt;$M86,((AU85*K28*($E$12-$M86+1))/servi6),0))</f>
        <v>#VALUE!</v>
      </c>
      <c r="AV86" s="79">
        <f>IF($M86&lt;servi6,((K28)^$M86)*(FACT($E$12))/(FACT($M86)*FACT($E$12-$M86)),0)</f>
        <v>0</v>
      </c>
      <c r="AW86" s="79">
        <f t="shared" si="75"/>
        <v>0</v>
      </c>
      <c r="AX86" s="79" t="e">
        <f t="shared" si="67"/>
        <v>#VALUE!</v>
      </c>
      <c r="AY86" s="97" t="e">
        <f t="shared" si="68"/>
        <v>#VALUE!</v>
      </c>
    </row>
    <row r="87" spans="4:51" s="49" customFormat="1" ht="10.5" customHeight="1" x14ac:dyDescent="0.2">
      <c r="D87" s="82"/>
      <c r="J87" s="50"/>
      <c r="K87" s="51"/>
      <c r="M87" s="75">
        <v>79</v>
      </c>
      <c r="N87" s="78" t="str">
        <f>IF(E12&lt;&gt;"M",Q87,"")</f>
        <v/>
      </c>
      <c r="O87" s="78" t="e">
        <f t="shared" si="76"/>
        <v>#VALUE!</v>
      </c>
      <c r="Q87" s="96" t="e">
        <f>IF(M87&lt;=$E$8,((Q86*K28*($E$12-$M87+1))/$M87),IF($E$8&lt;$M87,((Q86*K28*($E$12-$M87+1))/$E$8),0))</f>
        <v>#VALUE!</v>
      </c>
      <c r="R87" s="79">
        <f>IF($M87&lt;$E$8,((K28)^$M87)*(FACT($E$12))/(FACT($M87)*FACT($E$12-$M87)),0)</f>
        <v>0</v>
      </c>
      <c r="S87" s="79">
        <f t="shared" si="69"/>
        <v>0</v>
      </c>
      <c r="T87" s="79" t="e">
        <f t="shared" si="77"/>
        <v>#VALUE!</v>
      </c>
      <c r="U87" s="97" t="e">
        <f t="shared" si="59"/>
        <v>#VALUE!</v>
      </c>
      <c r="V87" s="96" t="e">
        <f>IF(M87&lt;=servi1,((V86*K28*($E$12-$M87+1))/$M87),IF(servi1&lt;$M87,((V86*K28*($E$12-$M87+1))/servi1),0))</f>
        <v>#VALUE!</v>
      </c>
      <c r="W87" s="79">
        <f>IF($M87&lt;servi1,((K28)^$M87)*(FACT($E$12))/(FACT($M87)*FACT($E$12-$M87)),0)</f>
        <v>0</v>
      </c>
      <c r="X87" s="79">
        <f t="shared" si="70"/>
        <v>0</v>
      </c>
      <c r="Y87" s="79" t="e">
        <f>IF(AND($M87&gt;=servi1,$M87&lt;=$E$12),(((K28^($M87))*FACT($E$12))/((FACT(servi1))*(FACT($E$12-$M87))*(servi1^($M87-servi1)))),0)</f>
        <v>#VALUE!</v>
      </c>
      <c r="Z87" s="97" t="e">
        <f t="shared" si="60"/>
        <v>#VALUE!</v>
      </c>
      <c r="AA87" s="96" t="e">
        <f>IF(M87&lt;=servi2,((AA86*K28*($E$12-$M87+1))/$M87),IF(servi2&lt;$M87,((AA86*K28*($E$12-$M87+1))/servi2),0))</f>
        <v>#VALUE!</v>
      </c>
      <c r="AB87" s="79">
        <f>IF($M87&lt;servi2,((K28)^$M87)*(FACT($E$12))/(FACT($M87)*FACT($E$12-$M87)),0)</f>
        <v>0</v>
      </c>
      <c r="AC87" s="79">
        <f t="shared" si="71"/>
        <v>0</v>
      </c>
      <c r="AD87" s="79" t="e">
        <f>IF(AND($M87&gt;=servi2,$M87&lt;=$E$12),(((K28^($M87))*FACT($E$12))/((FACT(servi2))*(FACT($E$12-$M87))*(servi2^($M87-servi2)))),0)</f>
        <v>#VALUE!</v>
      </c>
      <c r="AE87" s="97" t="e">
        <f t="shared" si="61"/>
        <v>#VALUE!</v>
      </c>
      <c r="AF87" s="96" t="e">
        <f>IF(M87&lt;=servi3,((AF86*K28*($E$12-$M87+1))/$M87),IF(servi3&lt;$M87,((AF86*K28*($E$12-$M87+1))/servi3),0))</f>
        <v>#VALUE!</v>
      </c>
      <c r="AG87" s="79">
        <f>IF($M87&lt;servi3,((K28)^$M87)*(FACT($E$12))/(FACT($M87)*FACT($E$12-$M87)),0)</f>
        <v>0</v>
      </c>
      <c r="AH87" s="79">
        <f t="shared" si="72"/>
        <v>0</v>
      </c>
      <c r="AI87" s="79" t="e">
        <f>IF(AND($M87&gt;=servi3,$M87&lt;=$E$12),(((K28^($M87))*FACT($E$12))/((FACT(servi3))*(FACT($E$12-$M87))*(servi3^($M87-servi3)))),0)</f>
        <v>#VALUE!</v>
      </c>
      <c r="AJ87" s="97" t="e">
        <f t="shared" si="62"/>
        <v>#VALUE!</v>
      </c>
      <c r="AK87" s="96" t="e">
        <f>IF(M87&lt;=servi4,((AK86*K28*($E$12-$M87+1))/$M87),IF(servi4&lt;$M87,((AK86*K28*($E$12-$M87+1))/servi4),0))</f>
        <v>#VALUE!</v>
      </c>
      <c r="AL87" s="79">
        <f>IF($M87&lt;servi4,((K28)^$M87)*(FACT($E$12))/(FACT($M87)*FACT($E$12-$M87)),0)</f>
        <v>0</v>
      </c>
      <c r="AM87" s="79">
        <f t="shared" si="73"/>
        <v>0</v>
      </c>
      <c r="AN87" s="79" t="e">
        <f t="shared" si="63"/>
        <v>#VALUE!</v>
      </c>
      <c r="AO87" s="97" t="e">
        <f t="shared" si="64"/>
        <v>#VALUE!</v>
      </c>
      <c r="AP87" s="96" t="e">
        <f>IF(M87&lt;=servi5,((AP86*K28*($E$12-$M87+1))/$M87),IF(servi5&lt;$M87,((AP86*K28*($E$12-$M87+1))/servi5),0))</f>
        <v>#VALUE!</v>
      </c>
      <c r="AQ87" s="79">
        <f>IF($M87&lt;servi5,((K28)^$M87)*(FACT($E$12))/(FACT($M87)*FACT($E$12-$M87)),0)</f>
        <v>0</v>
      </c>
      <c r="AR87" s="79">
        <f t="shared" si="74"/>
        <v>0</v>
      </c>
      <c r="AS87" s="79" t="e">
        <f t="shared" si="65"/>
        <v>#VALUE!</v>
      </c>
      <c r="AT87" s="97" t="e">
        <f t="shared" si="66"/>
        <v>#VALUE!</v>
      </c>
      <c r="AU87" s="96" t="e">
        <f>IF(M87&lt;=servi6,((AU86*K28*($E$12-$M87+1))/$M87),IF(servi6&lt;$M87,((AU86*K28*($E$12-$M87+1))/servi6),0))</f>
        <v>#VALUE!</v>
      </c>
      <c r="AV87" s="79">
        <f>IF($M87&lt;servi6,((K28)^$M87)*(FACT($E$12))/(FACT($M87)*FACT($E$12-$M87)),0)</f>
        <v>0</v>
      </c>
      <c r="AW87" s="79">
        <f t="shared" si="75"/>
        <v>0</v>
      </c>
      <c r="AX87" s="79" t="e">
        <f t="shared" si="67"/>
        <v>#VALUE!</v>
      </c>
      <c r="AY87" s="97" t="e">
        <f t="shared" si="68"/>
        <v>#VALUE!</v>
      </c>
    </row>
    <row r="88" spans="4:51" s="49" customFormat="1" ht="10.5" customHeight="1" x14ac:dyDescent="0.2">
      <c r="D88" s="82"/>
      <c r="J88" s="50"/>
      <c r="K88" s="51"/>
      <c r="M88" s="75">
        <v>80</v>
      </c>
      <c r="N88" s="78" t="str">
        <f>IF(E12&lt;&gt;"M",Q88,"")</f>
        <v/>
      </c>
      <c r="O88" s="78" t="e">
        <f t="shared" si="76"/>
        <v>#VALUE!</v>
      </c>
      <c r="Q88" s="96" t="e">
        <f>IF(M88&lt;=$E$8,((Q87*K28*($E$12-$M88+1))/$M88),IF($E$8&lt;$M88,((Q87*K28*($E$12-$M88+1))/$E$8),0))</f>
        <v>#VALUE!</v>
      </c>
      <c r="R88" s="79">
        <f>IF($M88&lt;$E$8,((K28)^$M88)*(FACT($E$12))/(FACT($M88)*FACT($E$12-$M88)),0)</f>
        <v>0</v>
      </c>
      <c r="S88" s="79">
        <f t="shared" si="69"/>
        <v>0</v>
      </c>
      <c r="T88" s="79" t="e">
        <f t="shared" si="77"/>
        <v>#VALUE!</v>
      </c>
      <c r="U88" s="97" t="e">
        <f t="shared" si="59"/>
        <v>#VALUE!</v>
      </c>
      <c r="V88" s="96" t="e">
        <f>IF(M88&lt;=servi1,((V87*K28*($E$12-$M88+1))/$M88),IF(servi1&lt;$M88,((V87*K28*($E$12-$M88+1))/servi1),0))</f>
        <v>#VALUE!</v>
      </c>
      <c r="W88" s="79">
        <f>IF($M88&lt;servi1,((K28)^$M88)*(FACT($E$12))/(FACT($M88)*FACT($E$12-$M88)),0)</f>
        <v>0</v>
      </c>
      <c r="X88" s="79">
        <f t="shared" si="70"/>
        <v>0</v>
      </c>
      <c r="Y88" s="79" t="e">
        <f>IF(AND($M88&gt;=servi1,$M88&lt;=$E$12),(((K28^($M88))*FACT($E$12))/((FACT(servi1))*(FACT($E$12-$M88))*(servi1^($M88-servi1)))),0)</f>
        <v>#VALUE!</v>
      </c>
      <c r="Z88" s="97" t="e">
        <f t="shared" si="60"/>
        <v>#VALUE!</v>
      </c>
      <c r="AA88" s="96" t="e">
        <f>IF(M88&lt;=servi2,((AA87*K28*($E$12-$M88+1))/$M88),IF(servi2&lt;$M88,((AA87*K28*($E$12-$M88+1))/servi2),0))</f>
        <v>#VALUE!</v>
      </c>
      <c r="AB88" s="79">
        <f>IF($M88&lt;servi2,((K28)^$M88)*(FACT($E$12))/(FACT($M88)*FACT($E$12-$M88)),0)</f>
        <v>0</v>
      </c>
      <c r="AC88" s="79">
        <f t="shared" si="71"/>
        <v>0</v>
      </c>
      <c r="AD88" s="79" t="e">
        <f>IF(AND($M88&gt;=servi2,$M88&lt;=$E$12),(((K28^($M88))*FACT($E$12))/((FACT(servi2))*(FACT($E$12-$M88))*(servi2^($M88-servi2)))),0)</f>
        <v>#VALUE!</v>
      </c>
      <c r="AE88" s="97" t="e">
        <f t="shared" si="61"/>
        <v>#VALUE!</v>
      </c>
      <c r="AF88" s="96" t="e">
        <f>IF(M88&lt;=servi3,((AF87*K28*($E$12-$M88+1))/$M88),IF(servi3&lt;$M88,((AF87*K28*($E$12-$M88+1))/servi3),0))</f>
        <v>#VALUE!</v>
      </c>
      <c r="AG88" s="79">
        <f>IF($M88&lt;servi3,((K28)^$M88)*(FACT($E$12))/(FACT($M88)*FACT($E$12-$M88)),0)</f>
        <v>0</v>
      </c>
      <c r="AH88" s="79">
        <f t="shared" si="72"/>
        <v>0</v>
      </c>
      <c r="AI88" s="79" t="e">
        <f>IF(AND($M88&gt;=servi3,$M88&lt;=$E$12),(((K28^($M88))*FACT($E$12))/((FACT(servi3))*(FACT($E$12-$M88))*(servi3^($M88-servi3)))),0)</f>
        <v>#VALUE!</v>
      </c>
      <c r="AJ88" s="97" t="e">
        <f t="shared" si="62"/>
        <v>#VALUE!</v>
      </c>
      <c r="AK88" s="96" t="e">
        <f>IF(M88&lt;=servi4,((AK87*K28*($E$12-$M88+1))/$M88),IF(servi4&lt;$M88,((AK87*K28*($E$12-$M88+1))/servi4),0))</f>
        <v>#VALUE!</v>
      </c>
      <c r="AL88" s="79">
        <f>IF($M88&lt;servi4,((K28)^$M88)*(FACT($E$12))/(FACT($M88)*FACT($E$12-$M88)),0)</f>
        <v>0</v>
      </c>
      <c r="AM88" s="79">
        <f t="shared" si="73"/>
        <v>0</v>
      </c>
      <c r="AN88" s="79" t="e">
        <f t="shared" si="63"/>
        <v>#VALUE!</v>
      </c>
      <c r="AO88" s="97" t="e">
        <f t="shared" si="64"/>
        <v>#VALUE!</v>
      </c>
      <c r="AP88" s="96" t="e">
        <f>IF(M88&lt;=servi5,((AP87*K28*($E$12-$M88+1))/$M88),IF(servi5&lt;$M88,((AP87*K28*($E$12-$M88+1))/servi5),0))</f>
        <v>#VALUE!</v>
      </c>
      <c r="AQ88" s="79">
        <f>IF($M88&lt;servi5,((K28)^$M88)*(FACT($E$12))/(FACT($M88)*FACT($E$12-$M88)),0)</f>
        <v>0</v>
      </c>
      <c r="AR88" s="79">
        <f t="shared" si="74"/>
        <v>0</v>
      </c>
      <c r="AS88" s="79" t="e">
        <f t="shared" si="65"/>
        <v>#VALUE!</v>
      </c>
      <c r="AT88" s="97" t="e">
        <f t="shared" si="66"/>
        <v>#VALUE!</v>
      </c>
      <c r="AU88" s="96" t="e">
        <f>IF(M88&lt;=servi6,((AU87*K28*($E$12-$M88+1))/$M88),IF(servi6&lt;$M88,((AU87*K28*($E$12-$M88+1))/servi6),0))</f>
        <v>#VALUE!</v>
      </c>
      <c r="AV88" s="79">
        <f>IF($M88&lt;servi6,((K28)^$M88)*(FACT($E$12))/(FACT($M88)*FACT($E$12-$M88)),0)</f>
        <v>0</v>
      </c>
      <c r="AW88" s="79">
        <f t="shared" si="75"/>
        <v>0</v>
      </c>
      <c r="AX88" s="79" t="e">
        <f t="shared" si="67"/>
        <v>#VALUE!</v>
      </c>
      <c r="AY88" s="97" t="e">
        <f t="shared" si="68"/>
        <v>#VALUE!</v>
      </c>
    </row>
    <row r="89" spans="4:51" s="49" customFormat="1" ht="10.5" customHeight="1" x14ac:dyDescent="0.2">
      <c r="D89" s="82"/>
      <c r="J89" s="50"/>
      <c r="K89" s="51"/>
      <c r="M89" s="75">
        <v>81</v>
      </c>
      <c r="N89" s="78" t="str">
        <f>IF(E12&lt;&gt;"M",Q89,"")</f>
        <v/>
      </c>
      <c r="O89" s="78" t="e">
        <f t="shared" si="76"/>
        <v>#VALUE!</v>
      </c>
      <c r="Q89" s="96" t="e">
        <f>IF(M89&lt;=$E$8,((Q88*K28*($E$12-$M89+1))/$M89),IF($E$8&lt;$M89,((Q88*K28*($E$12-$M89+1))/$E$8),0))</f>
        <v>#VALUE!</v>
      </c>
      <c r="R89" s="79">
        <f>IF($M89&lt;$E$8,((K28)^$M89)*(FACT($E$12))/(FACT($M89)*FACT($E$12-$M89)),0)</f>
        <v>0</v>
      </c>
      <c r="S89" s="79">
        <f t="shared" si="69"/>
        <v>0</v>
      </c>
      <c r="T89" s="79" t="e">
        <f t="shared" si="77"/>
        <v>#VALUE!</v>
      </c>
      <c r="U89" s="97" t="e">
        <f t="shared" si="59"/>
        <v>#VALUE!</v>
      </c>
      <c r="V89" s="96" t="e">
        <f>IF(M89&lt;=servi1,((V88*K28*($E$12-$M89+1))/$M89),IF(servi1&lt;$M89,((V88*K28*($E$12-$M89+1))/servi1),0))</f>
        <v>#VALUE!</v>
      </c>
      <c r="W89" s="79">
        <f>IF($M89&lt;servi1,((K28)^$M89)*(FACT($E$12))/(FACT($M89)*FACT($E$12-$M89)),0)</f>
        <v>0</v>
      </c>
      <c r="X89" s="79">
        <f t="shared" si="70"/>
        <v>0</v>
      </c>
      <c r="Y89" s="79" t="e">
        <f>IF(AND($M89&gt;=servi1,$M89&lt;=$E$12),(((K28^($M89))*FACT($E$12))/((FACT(servi1))*(FACT($E$12-$M89))*(servi1^($M89-servi1)))),0)</f>
        <v>#VALUE!</v>
      </c>
      <c r="Z89" s="97" t="e">
        <f t="shared" si="60"/>
        <v>#VALUE!</v>
      </c>
      <c r="AA89" s="96" t="e">
        <f>IF(M89&lt;=servi2,((AA88*K28*($E$12-$M89+1))/$M89),IF(servi2&lt;$M89,((AA88*K28*($E$12-$M89+1))/servi2),0))</f>
        <v>#VALUE!</v>
      </c>
      <c r="AB89" s="79">
        <f>IF($M89&lt;servi2,((K28)^$M89)*(FACT($E$12))/(FACT($M89)*FACT($E$12-$M89)),0)</f>
        <v>0</v>
      </c>
      <c r="AC89" s="79">
        <f t="shared" si="71"/>
        <v>0</v>
      </c>
      <c r="AD89" s="79" t="e">
        <f>IF(AND($M89&gt;=servi2,$M89&lt;=$E$12),(((K28^($M89))*FACT($E$12))/((FACT(servi2))*(FACT($E$12-$M89))*(servi2^($M89-servi2)))),0)</f>
        <v>#VALUE!</v>
      </c>
      <c r="AE89" s="97" t="e">
        <f t="shared" si="61"/>
        <v>#VALUE!</v>
      </c>
      <c r="AF89" s="96" t="e">
        <f>IF(M89&lt;=servi3,((AF88*K28*($E$12-$M89+1))/$M89),IF(servi3&lt;$M89,((AF88*K28*($E$12-$M89+1))/servi3),0))</f>
        <v>#VALUE!</v>
      </c>
      <c r="AG89" s="79">
        <f>IF($M89&lt;servi3,((K28)^$M89)*(FACT($E$12))/(FACT($M89)*FACT($E$12-$M89)),0)</f>
        <v>0</v>
      </c>
      <c r="AH89" s="79">
        <f t="shared" si="72"/>
        <v>0</v>
      </c>
      <c r="AI89" s="79" t="e">
        <f>IF(AND($M89&gt;=servi3,$M89&lt;=$E$12),(((K28^($M89))*FACT($E$12))/((FACT(servi3))*(FACT($E$12-$M89))*(servi3^($M89-servi3)))),0)</f>
        <v>#VALUE!</v>
      </c>
      <c r="AJ89" s="97" t="e">
        <f t="shared" si="62"/>
        <v>#VALUE!</v>
      </c>
      <c r="AK89" s="96" t="e">
        <f>IF(M89&lt;=servi4,((AK88*K28*($E$12-$M89+1))/$M89),IF(servi4&lt;$M89,((AK88*K28*($E$12-$M89+1))/servi4),0))</f>
        <v>#VALUE!</v>
      </c>
      <c r="AL89" s="79">
        <f>IF($M89&lt;servi4,((K28)^$M89)*(FACT($E$12))/(FACT($M89)*FACT($E$12-$M89)),0)</f>
        <v>0</v>
      </c>
      <c r="AM89" s="79">
        <f t="shared" si="73"/>
        <v>0</v>
      </c>
      <c r="AN89" s="79" t="e">
        <f t="shared" si="63"/>
        <v>#VALUE!</v>
      </c>
      <c r="AO89" s="97" t="e">
        <f t="shared" si="64"/>
        <v>#VALUE!</v>
      </c>
      <c r="AP89" s="96" t="e">
        <f>IF(M89&lt;=servi5,((AP88*K28*($E$12-$M89+1))/$M89),IF(servi5&lt;$M89,((AP88*K28*($E$12-$M89+1))/servi5),0))</f>
        <v>#VALUE!</v>
      </c>
      <c r="AQ89" s="79">
        <f>IF($M89&lt;servi5,((K28)^$M89)*(FACT($E$12))/(FACT($M89)*FACT($E$12-$M89)),0)</f>
        <v>0</v>
      </c>
      <c r="AR89" s="79">
        <f t="shared" si="74"/>
        <v>0</v>
      </c>
      <c r="AS89" s="79" t="e">
        <f t="shared" si="65"/>
        <v>#VALUE!</v>
      </c>
      <c r="AT89" s="97" t="e">
        <f t="shared" si="66"/>
        <v>#VALUE!</v>
      </c>
      <c r="AU89" s="96" t="e">
        <f>IF(M89&lt;=servi6,((AU88*K28*($E$12-$M89+1))/$M89),IF(servi6&lt;$M89,((AU88*K28*($E$12-$M89+1))/servi6),0))</f>
        <v>#VALUE!</v>
      </c>
      <c r="AV89" s="79">
        <f>IF($M89&lt;servi6,((K28)^$M89)*(FACT($E$12))/(FACT($M89)*FACT($E$12-$M89)),0)</f>
        <v>0</v>
      </c>
      <c r="AW89" s="79">
        <f t="shared" si="75"/>
        <v>0</v>
      </c>
      <c r="AX89" s="79" t="e">
        <f t="shared" si="67"/>
        <v>#VALUE!</v>
      </c>
      <c r="AY89" s="97" t="e">
        <f t="shared" si="68"/>
        <v>#VALUE!</v>
      </c>
    </row>
    <row r="90" spans="4:51" s="49" customFormat="1" ht="10.5" customHeight="1" x14ac:dyDescent="0.2">
      <c r="D90" s="82"/>
      <c r="J90" s="50"/>
      <c r="K90" s="51"/>
      <c r="M90" s="75">
        <v>82</v>
      </c>
      <c r="N90" s="78" t="str">
        <f>IF(E12&lt;&gt;"M",Q90,"")</f>
        <v/>
      </c>
      <c r="O90" s="78" t="e">
        <f t="shared" si="76"/>
        <v>#VALUE!</v>
      </c>
      <c r="Q90" s="96" t="e">
        <f>IF(M90&lt;=$E$8,((Q89*K28*($E$12-$M90+1))/$M90),IF($E$8&lt;$M90,((Q89*K28*($E$12-$M90+1))/$E$8),0))</f>
        <v>#VALUE!</v>
      </c>
      <c r="R90" s="79">
        <f>IF($M90&lt;$E$8,((K28)^$M90)*(FACT($E$12))/(FACT($M90)*FACT($E$12-$M90)),0)</f>
        <v>0</v>
      </c>
      <c r="S90" s="79">
        <f t="shared" si="69"/>
        <v>0</v>
      </c>
      <c r="T90" s="79" t="e">
        <f t="shared" si="77"/>
        <v>#VALUE!</v>
      </c>
      <c r="U90" s="97" t="e">
        <f t="shared" si="59"/>
        <v>#VALUE!</v>
      </c>
      <c r="V90" s="96" t="e">
        <f>IF(M90&lt;=servi1,((V89*K28*($E$12-$M90+1))/$M90),IF(servi1&lt;$M90,((V89*K28*($E$12-$M90+1))/servi1),0))</f>
        <v>#VALUE!</v>
      </c>
      <c r="W90" s="79">
        <f>IF($M90&lt;servi1,((K28)^$M90)*(FACT($E$12))/(FACT($M90)*FACT($E$12-$M90)),0)</f>
        <v>0</v>
      </c>
      <c r="X90" s="79">
        <f t="shared" si="70"/>
        <v>0</v>
      </c>
      <c r="Y90" s="79" t="e">
        <f>IF(AND($M90&gt;=servi1,$M90&lt;=$E$12),(((K28^($M90))*FACT($E$12))/((FACT(servi1))*(FACT($E$12-$M90))*(servi1^($M90-servi1)))),0)</f>
        <v>#VALUE!</v>
      </c>
      <c r="Z90" s="97" t="e">
        <f t="shared" si="60"/>
        <v>#VALUE!</v>
      </c>
      <c r="AA90" s="96" t="e">
        <f>IF(M90&lt;=servi2,((AA89*K28*($E$12-$M90+1))/$M90),IF(servi2&lt;$M90,((AA89*K28*($E$12-$M90+1))/servi2),0))</f>
        <v>#VALUE!</v>
      </c>
      <c r="AB90" s="79">
        <f>IF($M90&lt;servi2,((K28)^$M90)*(FACT($E$12))/(FACT($M90)*FACT($E$12-$M90)),0)</f>
        <v>0</v>
      </c>
      <c r="AC90" s="79">
        <f t="shared" si="71"/>
        <v>0</v>
      </c>
      <c r="AD90" s="79" t="e">
        <f>IF(AND($M90&gt;=servi2,$M90&lt;=$E$12),(((K28^($M90))*FACT($E$12))/((FACT(servi2))*(FACT($E$12-$M90))*(servi2^($M90-servi2)))),0)</f>
        <v>#VALUE!</v>
      </c>
      <c r="AE90" s="97" t="e">
        <f t="shared" si="61"/>
        <v>#VALUE!</v>
      </c>
      <c r="AF90" s="96" t="e">
        <f>IF(M90&lt;=servi3,((AF89*K28*($E$12-$M90+1))/$M90),IF(servi3&lt;$M90,((AF89*K28*($E$12-$M90+1))/servi3),0))</f>
        <v>#VALUE!</v>
      </c>
      <c r="AG90" s="79">
        <f>IF($M90&lt;servi3,((K28)^$M90)*(FACT($E$12))/(FACT($M90)*FACT($E$12-$M90)),0)</f>
        <v>0</v>
      </c>
      <c r="AH90" s="79">
        <f t="shared" si="72"/>
        <v>0</v>
      </c>
      <c r="AI90" s="79" t="e">
        <f>IF(AND($M90&gt;=servi3,$M90&lt;=$E$12),(((K28^($M90))*FACT($E$12))/((FACT(servi3))*(FACT($E$12-$M90))*(servi3^($M90-servi3)))),0)</f>
        <v>#VALUE!</v>
      </c>
      <c r="AJ90" s="97" t="e">
        <f t="shared" si="62"/>
        <v>#VALUE!</v>
      </c>
      <c r="AK90" s="96" t="e">
        <f>IF(M90&lt;=servi4,((AK89*K28*($E$12-$M90+1))/$M90),IF(servi4&lt;$M90,((AK89*K28*($E$12-$M90+1))/servi4),0))</f>
        <v>#VALUE!</v>
      </c>
      <c r="AL90" s="79">
        <f>IF($M90&lt;servi4,((K28)^$M90)*(FACT($E$12))/(FACT($M90)*FACT($E$12-$M90)),0)</f>
        <v>0</v>
      </c>
      <c r="AM90" s="79">
        <f t="shared" si="73"/>
        <v>0</v>
      </c>
      <c r="AN90" s="79" t="e">
        <f t="shared" si="63"/>
        <v>#VALUE!</v>
      </c>
      <c r="AO90" s="97" t="e">
        <f t="shared" si="64"/>
        <v>#VALUE!</v>
      </c>
      <c r="AP90" s="96" t="e">
        <f>IF(M90&lt;=servi5,((AP89*K28*($E$12-$M90+1))/$M90),IF(servi5&lt;$M90,((AP89*K28*($E$12-$M90+1))/servi5),0))</f>
        <v>#VALUE!</v>
      </c>
      <c r="AQ90" s="79">
        <f>IF($M90&lt;servi5,((K28)^$M90)*(FACT($E$12))/(FACT($M90)*FACT($E$12-$M90)),0)</f>
        <v>0</v>
      </c>
      <c r="AR90" s="79">
        <f t="shared" si="74"/>
        <v>0</v>
      </c>
      <c r="AS90" s="79" t="e">
        <f t="shared" si="65"/>
        <v>#VALUE!</v>
      </c>
      <c r="AT90" s="97" t="e">
        <f t="shared" si="66"/>
        <v>#VALUE!</v>
      </c>
      <c r="AU90" s="96" t="e">
        <f>IF(M90&lt;=servi6,((AU89*K28*($E$12-$M90+1))/$M90),IF(servi6&lt;$M90,((AU89*K28*($E$12-$M90+1))/servi6),0))</f>
        <v>#VALUE!</v>
      </c>
      <c r="AV90" s="79">
        <f>IF($M90&lt;servi6,((K28)^$M90)*(FACT($E$12))/(FACT($M90)*FACT($E$12-$M90)),0)</f>
        <v>0</v>
      </c>
      <c r="AW90" s="79">
        <f t="shared" si="75"/>
        <v>0</v>
      </c>
      <c r="AX90" s="79" t="e">
        <f t="shared" si="67"/>
        <v>#VALUE!</v>
      </c>
      <c r="AY90" s="97" t="e">
        <f t="shared" si="68"/>
        <v>#VALUE!</v>
      </c>
    </row>
    <row r="91" spans="4:51" s="49" customFormat="1" ht="10.5" customHeight="1" x14ac:dyDescent="0.2">
      <c r="D91" s="82"/>
      <c r="J91" s="50"/>
      <c r="K91" s="51"/>
      <c r="M91" s="75">
        <v>83</v>
      </c>
      <c r="N91" s="78" t="str">
        <f>IF(E12&lt;&gt;"M",Q91,"")</f>
        <v/>
      </c>
      <c r="O91" s="78" t="e">
        <f t="shared" si="76"/>
        <v>#VALUE!</v>
      </c>
      <c r="Q91" s="96" t="e">
        <f>IF(M91&lt;=$E$8,((Q90*K28*($E$12-$M91+1))/$M91),IF($E$8&lt;$M91,((Q90*K28*($E$12-$M91+1))/$E$8),0))</f>
        <v>#VALUE!</v>
      </c>
      <c r="R91" s="79">
        <f>IF($M91&lt;$E$8,((K28)^$M91)*(FACT($E$12))/(FACT($M91)*FACT($E$12-$M91)),0)</f>
        <v>0</v>
      </c>
      <c r="S91" s="79">
        <f t="shared" si="69"/>
        <v>0</v>
      </c>
      <c r="T91" s="79" t="e">
        <f t="shared" si="77"/>
        <v>#VALUE!</v>
      </c>
      <c r="U91" s="97" t="e">
        <f t="shared" si="59"/>
        <v>#VALUE!</v>
      </c>
      <c r="V91" s="96" t="e">
        <f>IF(M91&lt;=servi1,((V90*K28*($E$12-$M91+1))/$M91),IF(servi1&lt;$M91,((V90*K28*($E$12-$M91+1))/servi1),0))</f>
        <v>#VALUE!</v>
      </c>
      <c r="W91" s="79">
        <f>IF($M91&lt;servi1,((K28)^$M91)*(FACT($E$12))/(FACT($M91)*FACT($E$12-$M91)),0)</f>
        <v>0</v>
      </c>
      <c r="X91" s="79">
        <f t="shared" si="70"/>
        <v>0</v>
      </c>
      <c r="Y91" s="79" t="e">
        <f>IF(AND($M91&gt;=servi1,$M91&lt;=$E$12),(((K28^($M91))*FACT($E$12))/((FACT(servi1))*(FACT($E$12-$M91))*(servi1^($M91-servi1)))),0)</f>
        <v>#VALUE!</v>
      </c>
      <c r="Z91" s="97" t="e">
        <f t="shared" si="60"/>
        <v>#VALUE!</v>
      </c>
      <c r="AA91" s="96" t="e">
        <f>IF(M91&lt;=servi2,((AA90*K28*($E$12-$M91+1))/$M91),IF(servi2&lt;$M91,((AA90*K28*($E$12-$M91+1))/servi2),0))</f>
        <v>#VALUE!</v>
      </c>
      <c r="AB91" s="79">
        <f>IF($M91&lt;servi2,((K28)^$M91)*(FACT($E$12))/(FACT($M91)*FACT($E$12-$M91)),0)</f>
        <v>0</v>
      </c>
      <c r="AC91" s="79">
        <f t="shared" si="71"/>
        <v>0</v>
      </c>
      <c r="AD91" s="79" t="e">
        <f>IF(AND($M91&gt;=servi2,$M91&lt;=$E$12),(((K28^($M91))*FACT($E$12))/((FACT(servi2))*(FACT($E$12-$M91))*(servi2^($M91-servi2)))),0)</f>
        <v>#VALUE!</v>
      </c>
      <c r="AE91" s="97" t="e">
        <f t="shared" si="61"/>
        <v>#VALUE!</v>
      </c>
      <c r="AF91" s="96" t="e">
        <f>IF(M91&lt;=servi3,((AF90*K28*($E$12-$M91+1))/$M91),IF(servi3&lt;$M91,((AF90*K28*($E$12-$M91+1))/servi3),0))</f>
        <v>#VALUE!</v>
      </c>
      <c r="AG91" s="79">
        <f>IF($M91&lt;servi3,((K28)^$M91)*(FACT($E$12))/(FACT($M91)*FACT($E$12-$M91)),0)</f>
        <v>0</v>
      </c>
      <c r="AH91" s="79">
        <f t="shared" si="72"/>
        <v>0</v>
      </c>
      <c r="AI91" s="79" t="e">
        <f>IF(AND($M91&gt;=servi3,$M91&lt;=$E$12),(((K28^($M91))*FACT($E$12))/((FACT(servi3))*(FACT($E$12-$M91))*(servi3^($M91-servi3)))),0)</f>
        <v>#VALUE!</v>
      </c>
      <c r="AJ91" s="97" t="e">
        <f t="shared" si="62"/>
        <v>#VALUE!</v>
      </c>
      <c r="AK91" s="96" t="e">
        <f>IF(M91&lt;=servi4,((AK90*K28*($E$12-$M91+1))/$M91),IF(servi4&lt;$M91,((AK90*K28*($E$12-$M91+1))/servi4),0))</f>
        <v>#VALUE!</v>
      </c>
      <c r="AL91" s="79">
        <f>IF($M91&lt;servi4,((K28)^$M91)*(FACT($E$12))/(FACT($M91)*FACT($E$12-$M91)),0)</f>
        <v>0</v>
      </c>
      <c r="AM91" s="79">
        <f t="shared" si="73"/>
        <v>0</v>
      </c>
      <c r="AN91" s="79" t="e">
        <f t="shared" si="63"/>
        <v>#VALUE!</v>
      </c>
      <c r="AO91" s="97" t="e">
        <f t="shared" si="64"/>
        <v>#VALUE!</v>
      </c>
      <c r="AP91" s="96" t="e">
        <f>IF(M91&lt;=servi5,((AP90*K28*($E$12-$M91+1))/$M91),IF(servi5&lt;$M91,((AP90*K28*($E$12-$M91+1))/servi5),0))</f>
        <v>#VALUE!</v>
      </c>
      <c r="AQ91" s="79">
        <f>IF($M91&lt;servi5,((K28)^$M91)*(FACT($E$12))/(FACT($M91)*FACT($E$12-$M91)),0)</f>
        <v>0</v>
      </c>
      <c r="AR91" s="79">
        <f t="shared" si="74"/>
        <v>0</v>
      </c>
      <c r="AS91" s="79" t="e">
        <f t="shared" si="65"/>
        <v>#VALUE!</v>
      </c>
      <c r="AT91" s="97" t="e">
        <f t="shared" si="66"/>
        <v>#VALUE!</v>
      </c>
      <c r="AU91" s="96" t="e">
        <f>IF(M91&lt;=servi6,((AU90*K28*($E$12-$M91+1))/$M91),IF(servi6&lt;$M91,((AU90*K28*($E$12-$M91+1))/servi6),0))</f>
        <v>#VALUE!</v>
      </c>
      <c r="AV91" s="79">
        <f>IF($M91&lt;servi6,((K28)^$M91)*(FACT($E$12))/(FACT($M91)*FACT($E$12-$M91)),0)</f>
        <v>0</v>
      </c>
      <c r="AW91" s="79">
        <f t="shared" si="75"/>
        <v>0</v>
      </c>
      <c r="AX91" s="79" t="e">
        <f t="shared" si="67"/>
        <v>#VALUE!</v>
      </c>
      <c r="AY91" s="97" t="e">
        <f t="shared" si="68"/>
        <v>#VALUE!</v>
      </c>
    </row>
    <row r="92" spans="4:51" s="49" customFormat="1" ht="10.5" customHeight="1" x14ac:dyDescent="0.2">
      <c r="D92" s="82"/>
      <c r="J92" s="50"/>
      <c r="K92" s="51"/>
      <c r="M92" s="75">
        <v>84</v>
      </c>
      <c r="N92" s="78" t="str">
        <f>IF(E12&lt;&gt;"M",Q92,"")</f>
        <v/>
      </c>
      <c r="O92" s="78" t="e">
        <f t="shared" si="76"/>
        <v>#VALUE!</v>
      </c>
      <c r="Q92" s="96" t="e">
        <f>IF(M92&lt;=$E$8,((Q91*K28*($E$12-$M92+1))/$M92),IF($E$8&lt;$M92,((Q91*K28*($E$12-$M92+1))/$E$8),0))</f>
        <v>#VALUE!</v>
      </c>
      <c r="R92" s="79">
        <f>IF($M92&lt;$E$8,((K28)^$M92)*(FACT($E$12))/(FACT($M92)*FACT($E$12-$M92)),0)</f>
        <v>0</v>
      </c>
      <c r="S92" s="79">
        <f t="shared" si="69"/>
        <v>0</v>
      </c>
      <c r="T92" s="79" t="e">
        <f t="shared" si="77"/>
        <v>#VALUE!</v>
      </c>
      <c r="U92" s="97" t="e">
        <f t="shared" si="59"/>
        <v>#VALUE!</v>
      </c>
      <c r="V92" s="96" t="e">
        <f>IF(M92&lt;=servi1,((V91*K28*($E$12-$M92+1))/$M92),IF(servi1&lt;$M92,((V91*K28*($E$12-$M92+1))/servi1),0))</f>
        <v>#VALUE!</v>
      </c>
      <c r="W92" s="79">
        <f>IF($M92&lt;servi1,((K28)^$M92)*(FACT($E$12))/(FACT($M92)*FACT($E$12-$M92)),0)</f>
        <v>0</v>
      </c>
      <c r="X92" s="79">
        <f t="shared" si="70"/>
        <v>0</v>
      </c>
      <c r="Y92" s="79" t="e">
        <f>IF(AND($M92&gt;=servi1,$M92&lt;=$E$12),(((K28^($M92))*FACT($E$12))/((FACT(servi1))*(FACT($E$12-$M92))*(servi1^($M92-servi1)))),0)</f>
        <v>#VALUE!</v>
      </c>
      <c r="Z92" s="97" t="e">
        <f t="shared" si="60"/>
        <v>#VALUE!</v>
      </c>
      <c r="AA92" s="96" t="e">
        <f>IF(M92&lt;=servi2,((AA91*K28*($E$12-$M92+1))/$M92),IF(servi2&lt;$M92,((AA91*K28*($E$12-$M92+1))/servi2),0))</f>
        <v>#VALUE!</v>
      </c>
      <c r="AB92" s="79">
        <f>IF($M92&lt;servi2,((K28)^$M92)*(FACT($E$12))/(FACT($M92)*FACT($E$12-$M92)),0)</f>
        <v>0</v>
      </c>
      <c r="AC92" s="79">
        <f t="shared" si="71"/>
        <v>0</v>
      </c>
      <c r="AD92" s="79" t="e">
        <f>IF(AND($M92&gt;=servi2,$M92&lt;=$E$12),(((K28^($M92))*FACT($E$12))/((FACT(servi2))*(FACT($E$12-$M92))*(servi2^($M92-servi2)))),0)</f>
        <v>#VALUE!</v>
      </c>
      <c r="AE92" s="97" t="e">
        <f t="shared" si="61"/>
        <v>#VALUE!</v>
      </c>
      <c r="AF92" s="96" t="e">
        <f>IF(M92&lt;=servi3,((AF91*K28*($E$12-$M92+1))/$M92),IF(servi3&lt;$M92,((AF91*K28*($E$12-$M92+1))/servi3),0))</f>
        <v>#VALUE!</v>
      </c>
      <c r="AG92" s="79">
        <f>IF($M92&lt;servi3,((K28)^$M92)*(FACT($E$12))/(FACT($M92)*FACT($E$12-$M92)),0)</f>
        <v>0</v>
      </c>
      <c r="AH92" s="79">
        <f t="shared" si="72"/>
        <v>0</v>
      </c>
      <c r="AI92" s="79" t="e">
        <f>IF(AND($M92&gt;=servi3,$M92&lt;=$E$12),(((K28^($M92))*FACT($E$12))/((FACT(servi3))*(FACT($E$12-$M92))*(servi3^($M92-servi3)))),0)</f>
        <v>#VALUE!</v>
      </c>
      <c r="AJ92" s="97" t="e">
        <f t="shared" si="62"/>
        <v>#VALUE!</v>
      </c>
      <c r="AK92" s="96" t="e">
        <f>IF(M92&lt;=servi4,((AK91*K28*($E$12-$M92+1))/$M92),IF(servi4&lt;$M92,((AK91*K28*($E$12-$M92+1))/servi4),0))</f>
        <v>#VALUE!</v>
      </c>
      <c r="AL92" s="79">
        <f>IF($M92&lt;servi4,((K28)^$M92)*(FACT($E$12))/(FACT($M92)*FACT($E$12-$M92)),0)</f>
        <v>0</v>
      </c>
      <c r="AM92" s="79">
        <f t="shared" si="73"/>
        <v>0</v>
      </c>
      <c r="AN92" s="79" t="e">
        <f t="shared" si="63"/>
        <v>#VALUE!</v>
      </c>
      <c r="AO92" s="97" t="e">
        <f t="shared" si="64"/>
        <v>#VALUE!</v>
      </c>
      <c r="AP92" s="96" t="e">
        <f>IF(M92&lt;=servi5,((AP91*K28*($E$12-$M92+1))/$M92),IF(servi5&lt;$M92,((AP91*K28*($E$12-$M92+1))/servi5),0))</f>
        <v>#VALUE!</v>
      </c>
      <c r="AQ92" s="79">
        <f>IF($M92&lt;servi5,((K28)^$M92)*(FACT($E$12))/(FACT($M92)*FACT($E$12-$M92)),0)</f>
        <v>0</v>
      </c>
      <c r="AR92" s="79">
        <f t="shared" si="74"/>
        <v>0</v>
      </c>
      <c r="AS92" s="79" t="e">
        <f t="shared" si="65"/>
        <v>#VALUE!</v>
      </c>
      <c r="AT92" s="97" t="e">
        <f t="shared" si="66"/>
        <v>#VALUE!</v>
      </c>
      <c r="AU92" s="96" t="e">
        <f>IF(M92&lt;=servi6,((AU91*K28*($E$12-$M92+1))/$M92),IF(servi6&lt;$M92,((AU91*K28*($E$12-$M92+1))/servi6),0))</f>
        <v>#VALUE!</v>
      </c>
      <c r="AV92" s="79">
        <f>IF($M92&lt;servi6,((K28)^$M92)*(FACT($E$12))/(FACT($M92)*FACT($E$12-$M92)),0)</f>
        <v>0</v>
      </c>
      <c r="AW92" s="79">
        <f t="shared" si="75"/>
        <v>0</v>
      </c>
      <c r="AX92" s="79" t="e">
        <f t="shared" si="67"/>
        <v>#VALUE!</v>
      </c>
      <c r="AY92" s="97" t="e">
        <f t="shared" si="68"/>
        <v>#VALUE!</v>
      </c>
    </row>
    <row r="93" spans="4:51" s="49" customFormat="1" ht="10.5" customHeight="1" x14ac:dyDescent="0.2">
      <c r="D93" s="82"/>
      <c r="J93" s="50"/>
      <c r="K93" s="51"/>
      <c r="M93" s="75">
        <v>85</v>
      </c>
      <c r="N93" s="78" t="str">
        <f>IF(E12&lt;&gt;"M",Q93,"")</f>
        <v/>
      </c>
      <c r="O93" s="78" t="e">
        <f t="shared" si="76"/>
        <v>#VALUE!</v>
      </c>
      <c r="Q93" s="96" t="e">
        <f>IF(M93&lt;=$E$8,((Q92*K28*($E$12-$M93+1))/$M93),IF($E$8&lt;$M93,((Q92*K28*($E$12-$M93+1))/$E$8),0))</f>
        <v>#VALUE!</v>
      </c>
      <c r="R93" s="79">
        <f>IF($M93&lt;$E$8,((K28)^$M93)*(FACT($E$12))/(FACT($M93)*FACT($E$12-$M93)),0)</f>
        <v>0</v>
      </c>
      <c r="S93" s="79">
        <f t="shared" si="69"/>
        <v>0</v>
      </c>
      <c r="T93" s="79" t="e">
        <f t="shared" si="77"/>
        <v>#VALUE!</v>
      </c>
      <c r="U93" s="97" t="e">
        <f t="shared" si="59"/>
        <v>#VALUE!</v>
      </c>
      <c r="V93" s="96" t="e">
        <f>IF(M93&lt;=servi1,((V92*K28*($E$12-$M93+1))/$M93),IF(servi1&lt;$M93,((V92*K28*($E$12-$M93+1))/servi1),0))</f>
        <v>#VALUE!</v>
      </c>
      <c r="W93" s="79">
        <f>IF($M93&lt;servi1,((K28)^$M93)*(FACT($E$12))/(FACT($M93)*FACT($E$12-$M93)),0)</f>
        <v>0</v>
      </c>
      <c r="X93" s="79">
        <f t="shared" si="70"/>
        <v>0</v>
      </c>
      <c r="Y93" s="79" t="e">
        <f>IF(AND($M93&gt;=servi1,$M93&lt;=$E$12),(((K28^($M93))*FACT($E$12))/((FACT(servi1))*(FACT($E$12-$M93))*(servi1^($M93-servi1)))),0)</f>
        <v>#VALUE!</v>
      </c>
      <c r="Z93" s="97" t="e">
        <f t="shared" si="60"/>
        <v>#VALUE!</v>
      </c>
      <c r="AA93" s="96" t="e">
        <f>IF(M93&lt;=servi2,((AA92*K28*($E$12-$M93+1))/$M93),IF(servi2&lt;$M93,((AA92*K28*($E$12-$M93+1))/servi2),0))</f>
        <v>#VALUE!</v>
      </c>
      <c r="AB93" s="79">
        <f>IF($M93&lt;servi2,((K28)^$M93)*(FACT($E$12))/(FACT($M93)*FACT($E$12-$M93)),0)</f>
        <v>0</v>
      </c>
      <c r="AC93" s="79">
        <f t="shared" si="71"/>
        <v>0</v>
      </c>
      <c r="AD93" s="79" t="e">
        <f>IF(AND($M93&gt;=servi2,$M93&lt;=$E$12),(((K28^($M93))*FACT($E$12))/((FACT(servi2))*(FACT($E$12-$M93))*(servi2^($M93-servi2)))),0)</f>
        <v>#VALUE!</v>
      </c>
      <c r="AE93" s="97" t="e">
        <f t="shared" si="61"/>
        <v>#VALUE!</v>
      </c>
      <c r="AF93" s="96" t="e">
        <f>IF(M93&lt;=servi3,((AF92*K28*($E$12-$M93+1))/$M93),IF(servi3&lt;$M93,((AF92*K28*($E$12-$M93+1))/servi3),0))</f>
        <v>#VALUE!</v>
      </c>
      <c r="AG93" s="79">
        <f>IF($M93&lt;servi3,((K28)^$M93)*(FACT($E$12))/(FACT($M93)*FACT($E$12-$M93)),0)</f>
        <v>0</v>
      </c>
      <c r="AH93" s="79">
        <f t="shared" si="72"/>
        <v>0</v>
      </c>
      <c r="AI93" s="79" t="e">
        <f>IF(AND($M93&gt;=servi3,$M93&lt;=$E$12),(((K28^($M93))*FACT($E$12))/((FACT(servi3))*(FACT($E$12-$M93))*(servi3^($M93-servi3)))),0)</f>
        <v>#VALUE!</v>
      </c>
      <c r="AJ93" s="97" t="e">
        <f t="shared" si="62"/>
        <v>#VALUE!</v>
      </c>
      <c r="AK93" s="96" t="e">
        <f>IF(M93&lt;=servi4,((AK92*K28*($E$12-$M93+1))/$M93),IF(servi4&lt;$M93,((AK92*K28*($E$12-$M93+1))/servi4),0))</f>
        <v>#VALUE!</v>
      </c>
      <c r="AL93" s="79">
        <f>IF($M93&lt;servi4,((K28)^$M93)*(FACT($E$12))/(FACT($M93)*FACT($E$12-$M93)),0)</f>
        <v>0</v>
      </c>
      <c r="AM93" s="79">
        <f t="shared" si="73"/>
        <v>0</v>
      </c>
      <c r="AN93" s="79" t="e">
        <f t="shared" si="63"/>
        <v>#VALUE!</v>
      </c>
      <c r="AO93" s="97" t="e">
        <f t="shared" si="64"/>
        <v>#VALUE!</v>
      </c>
      <c r="AP93" s="96" t="e">
        <f>IF(M93&lt;=servi5,((AP92*K28*($E$12-$M93+1))/$M93),IF(servi5&lt;$M93,((AP92*K28*($E$12-$M93+1))/servi5),0))</f>
        <v>#VALUE!</v>
      </c>
      <c r="AQ93" s="79">
        <f>IF($M93&lt;servi5,((K28)^$M93)*(FACT($E$12))/(FACT($M93)*FACT($E$12-$M93)),0)</f>
        <v>0</v>
      </c>
      <c r="AR93" s="79">
        <f t="shared" si="74"/>
        <v>0</v>
      </c>
      <c r="AS93" s="79" t="e">
        <f t="shared" si="65"/>
        <v>#VALUE!</v>
      </c>
      <c r="AT93" s="97" t="e">
        <f t="shared" si="66"/>
        <v>#VALUE!</v>
      </c>
      <c r="AU93" s="96" t="e">
        <f>IF(M93&lt;=servi6,((AU92*K28*($E$12-$M93+1))/$M93),IF(servi6&lt;$M93,((AU92*K28*($E$12-$M93+1))/servi6),0))</f>
        <v>#VALUE!</v>
      </c>
      <c r="AV93" s="79">
        <f>IF($M93&lt;servi6,((K28)^$M93)*(FACT($E$12))/(FACT($M93)*FACT($E$12-$M93)),0)</f>
        <v>0</v>
      </c>
      <c r="AW93" s="79">
        <f t="shared" si="75"/>
        <v>0</v>
      </c>
      <c r="AX93" s="79" t="e">
        <f t="shared" si="67"/>
        <v>#VALUE!</v>
      </c>
      <c r="AY93" s="97" t="e">
        <f t="shared" si="68"/>
        <v>#VALUE!</v>
      </c>
    </row>
    <row r="94" spans="4:51" s="49" customFormat="1" ht="10.5" customHeight="1" x14ac:dyDescent="0.2">
      <c r="D94" s="82"/>
      <c r="J94" s="50"/>
      <c r="K94" s="51"/>
      <c r="M94" s="75">
        <v>86</v>
      </c>
      <c r="N94" s="78" t="str">
        <f>IF(E12&lt;&gt;"M",Q94,"")</f>
        <v/>
      </c>
      <c r="O94" s="78" t="e">
        <f t="shared" si="76"/>
        <v>#VALUE!</v>
      </c>
      <c r="Q94" s="96" t="e">
        <f>IF(M94&lt;=$E$8,((Q93*K28*($E$12-$M94+1))/$M94),IF($E$8&lt;$M94,((Q93*K28*($E$12-$M94+1))/$E$8),0))</f>
        <v>#VALUE!</v>
      </c>
      <c r="R94" s="79">
        <f>IF($M94&lt;$E$8,((K28)^$M94)*(FACT($E$12))/(FACT($M94)*FACT($E$12-$M94)),0)</f>
        <v>0</v>
      </c>
      <c r="S94" s="79">
        <f t="shared" si="69"/>
        <v>0</v>
      </c>
      <c r="T94" s="79" t="e">
        <f t="shared" si="77"/>
        <v>#VALUE!</v>
      </c>
      <c r="U94" s="97" t="e">
        <f t="shared" si="59"/>
        <v>#VALUE!</v>
      </c>
      <c r="V94" s="96" t="e">
        <f>IF(M94&lt;=servi1,((V93*K28*($E$12-$M94+1))/$M94),IF(servi1&lt;$M94,((V93*K28*($E$12-$M94+1))/servi1),0))</f>
        <v>#VALUE!</v>
      </c>
      <c r="W94" s="79">
        <f>IF($M94&lt;servi1,((K28)^$M94)*(FACT($E$12))/(FACT($M94)*FACT($E$12-$M94)),0)</f>
        <v>0</v>
      </c>
      <c r="X94" s="79">
        <f t="shared" si="70"/>
        <v>0</v>
      </c>
      <c r="Y94" s="79" t="e">
        <f>IF(AND($M94&gt;=servi1,$M94&lt;=$E$12),(((K28^($M94))*FACT($E$12))/((FACT(servi1))*(FACT($E$12-$M94))*(servi1^($M94-servi1)))),0)</f>
        <v>#VALUE!</v>
      </c>
      <c r="Z94" s="97" t="e">
        <f t="shared" si="60"/>
        <v>#VALUE!</v>
      </c>
      <c r="AA94" s="96" t="e">
        <f>IF(M94&lt;=servi2,((AA93*K28*($E$12-$M94+1))/$M94),IF(servi2&lt;$M94,((AA93*K28*($E$12-$M94+1))/servi2),0))</f>
        <v>#VALUE!</v>
      </c>
      <c r="AB94" s="79">
        <f>IF($M94&lt;servi2,((K28)^$M94)*(FACT($E$12))/(FACT($M94)*FACT($E$12-$M94)),0)</f>
        <v>0</v>
      </c>
      <c r="AC94" s="79">
        <f t="shared" si="71"/>
        <v>0</v>
      </c>
      <c r="AD94" s="79" t="e">
        <f>IF(AND($M94&gt;=servi2,$M94&lt;=$E$12),(((K28^($M94))*FACT($E$12))/((FACT(servi2))*(FACT($E$12-$M94))*(servi2^($M94-servi2)))),0)</f>
        <v>#VALUE!</v>
      </c>
      <c r="AE94" s="97" t="e">
        <f t="shared" si="61"/>
        <v>#VALUE!</v>
      </c>
      <c r="AF94" s="96" t="e">
        <f>IF(M94&lt;=servi3,((AF93*K28*($E$12-$M94+1))/$M94),IF(servi3&lt;$M94,((AF93*K28*($E$12-$M94+1))/servi3),0))</f>
        <v>#VALUE!</v>
      </c>
      <c r="AG94" s="79">
        <f>IF($M94&lt;servi3,((K28)^$M94)*(FACT($E$12))/(FACT($M94)*FACT($E$12-$M94)),0)</f>
        <v>0</v>
      </c>
      <c r="AH94" s="79">
        <f t="shared" si="72"/>
        <v>0</v>
      </c>
      <c r="AI94" s="79" t="e">
        <f>IF(AND($M94&gt;=servi3,$M94&lt;=$E$12),(((K28^($M94))*FACT($E$12))/((FACT(servi3))*(FACT($E$12-$M94))*(servi3^($M94-servi3)))),0)</f>
        <v>#VALUE!</v>
      </c>
      <c r="AJ94" s="97" t="e">
        <f t="shared" si="62"/>
        <v>#VALUE!</v>
      </c>
      <c r="AK94" s="96" t="e">
        <f>IF(M94&lt;=servi4,((AK93*K28*($E$12-$M94+1))/$M94),IF(servi4&lt;$M94,((AK93*K28*($E$12-$M94+1))/servi4),0))</f>
        <v>#VALUE!</v>
      </c>
      <c r="AL94" s="79">
        <f>IF($M94&lt;servi4,((K28)^$M94)*(FACT($E$12))/(FACT($M94)*FACT($E$12-$M94)),0)</f>
        <v>0</v>
      </c>
      <c r="AM94" s="79">
        <f t="shared" si="73"/>
        <v>0</v>
      </c>
      <c r="AN94" s="79" t="e">
        <f t="shared" si="63"/>
        <v>#VALUE!</v>
      </c>
      <c r="AO94" s="97" t="e">
        <f t="shared" si="64"/>
        <v>#VALUE!</v>
      </c>
      <c r="AP94" s="96" t="e">
        <f>IF(M94&lt;=servi5,((AP93*K28*($E$12-$M94+1))/$M94),IF(servi5&lt;$M94,((AP93*K28*($E$12-$M94+1))/servi5),0))</f>
        <v>#VALUE!</v>
      </c>
      <c r="AQ94" s="79">
        <f>IF($M94&lt;servi5,((K28)^$M94)*(FACT($E$12))/(FACT($M94)*FACT($E$12-$M94)),0)</f>
        <v>0</v>
      </c>
      <c r="AR94" s="79">
        <f t="shared" si="74"/>
        <v>0</v>
      </c>
      <c r="AS94" s="79" t="e">
        <f t="shared" si="65"/>
        <v>#VALUE!</v>
      </c>
      <c r="AT94" s="97" t="e">
        <f t="shared" si="66"/>
        <v>#VALUE!</v>
      </c>
      <c r="AU94" s="96" t="e">
        <f>IF(M94&lt;=servi6,((AU93*K28*($E$12-$M94+1))/$M94),IF(servi6&lt;$M94,((AU93*K28*($E$12-$M94+1))/servi6),0))</f>
        <v>#VALUE!</v>
      </c>
      <c r="AV94" s="79">
        <f>IF($M94&lt;servi6,((K28)^$M94)*(FACT($E$12))/(FACT($M94)*FACT($E$12-$M94)),0)</f>
        <v>0</v>
      </c>
      <c r="AW94" s="79">
        <f t="shared" si="75"/>
        <v>0</v>
      </c>
      <c r="AX94" s="79" t="e">
        <f t="shared" si="67"/>
        <v>#VALUE!</v>
      </c>
      <c r="AY94" s="97" t="e">
        <f t="shared" si="68"/>
        <v>#VALUE!</v>
      </c>
    </row>
    <row r="95" spans="4:51" s="49" customFormat="1" ht="10.5" customHeight="1" x14ac:dyDescent="0.2">
      <c r="D95" s="82"/>
      <c r="J95" s="50"/>
      <c r="K95" s="51"/>
      <c r="M95" s="75">
        <v>87</v>
      </c>
      <c r="N95" s="78" t="str">
        <f>IF(E12&lt;&gt;"M",Q95,"")</f>
        <v/>
      </c>
      <c r="O95" s="78" t="e">
        <f t="shared" si="76"/>
        <v>#VALUE!</v>
      </c>
      <c r="Q95" s="96" t="e">
        <f>IF(M95&lt;=$E$8,((Q94*K28*($E$12-$M95+1))/$M95),IF($E$8&lt;$M95,((Q94*K28*($E$12-$M95+1))/$E$8),0))</f>
        <v>#VALUE!</v>
      </c>
      <c r="R95" s="79">
        <f>IF($M95&lt;$E$8,((K28)^$M95)*(FACT($E$12))/(FACT($M95)*FACT($E$12-$M95)),0)</f>
        <v>0</v>
      </c>
      <c r="S95" s="79">
        <f t="shared" si="69"/>
        <v>0</v>
      </c>
      <c r="T95" s="79" t="e">
        <f t="shared" si="77"/>
        <v>#VALUE!</v>
      </c>
      <c r="U95" s="97" t="e">
        <f t="shared" si="59"/>
        <v>#VALUE!</v>
      </c>
      <c r="V95" s="96" t="e">
        <f>IF(M95&lt;=servi1,((V94*K28*($E$12-$M95+1))/$M95),IF(servi1&lt;$M95,((V94*K28*($E$12-$M95+1))/servi1),0))</f>
        <v>#VALUE!</v>
      </c>
      <c r="W95" s="79">
        <f>IF($M95&lt;servi1,((K28)^$M95)*(FACT($E$12))/(FACT($M95)*FACT($E$12-$M95)),0)</f>
        <v>0</v>
      </c>
      <c r="X95" s="79">
        <f t="shared" si="70"/>
        <v>0</v>
      </c>
      <c r="Y95" s="79" t="e">
        <f>IF(AND($M95&gt;=servi1,$M95&lt;=$E$12),(((K28^($M95))*FACT($E$12))/((FACT(servi1))*(FACT($E$12-$M95))*(servi1^($M95-servi1)))),0)</f>
        <v>#VALUE!</v>
      </c>
      <c r="Z95" s="97" t="e">
        <f t="shared" si="60"/>
        <v>#VALUE!</v>
      </c>
      <c r="AA95" s="96" t="e">
        <f>IF(M95&lt;=servi2,((AA94*K28*($E$12-$M95+1))/$M95),IF(servi2&lt;$M95,((AA94*K28*($E$12-$M95+1))/servi2),0))</f>
        <v>#VALUE!</v>
      </c>
      <c r="AB95" s="79">
        <f>IF($M95&lt;servi2,((K28)^$M95)*(FACT($E$12))/(FACT($M95)*FACT($E$12-$M95)),0)</f>
        <v>0</v>
      </c>
      <c r="AC95" s="79">
        <f t="shared" si="71"/>
        <v>0</v>
      </c>
      <c r="AD95" s="79" t="e">
        <f>IF(AND($M95&gt;=servi2,$M95&lt;=$E$12),(((K28^($M95))*FACT($E$12))/((FACT(servi2))*(FACT($E$12-$M95))*(servi2^($M95-servi2)))),0)</f>
        <v>#VALUE!</v>
      </c>
      <c r="AE95" s="97" t="e">
        <f t="shared" si="61"/>
        <v>#VALUE!</v>
      </c>
      <c r="AF95" s="96" t="e">
        <f>IF(M95&lt;=servi3,((AF94*K28*($E$12-$M95+1))/$M95),IF(servi3&lt;$M95,((AF94*K28*($E$12-$M95+1))/servi3),0))</f>
        <v>#VALUE!</v>
      </c>
      <c r="AG95" s="79">
        <f>IF($M95&lt;servi3,((K28)^$M95)*(FACT($E$12))/(FACT($M95)*FACT($E$12-$M95)),0)</f>
        <v>0</v>
      </c>
      <c r="AH95" s="79">
        <f t="shared" si="72"/>
        <v>0</v>
      </c>
      <c r="AI95" s="79" t="e">
        <f>IF(AND($M95&gt;=servi3,$M95&lt;=$E$12),(((K28^($M95))*FACT($E$12))/((FACT(servi3))*(FACT($E$12-$M95))*(servi3^($M95-servi3)))),0)</f>
        <v>#VALUE!</v>
      </c>
      <c r="AJ95" s="97" t="e">
        <f t="shared" si="62"/>
        <v>#VALUE!</v>
      </c>
      <c r="AK95" s="96" t="e">
        <f>IF(M95&lt;=servi4,((AK94*K28*($E$12-$M95+1))/$M95),IF(servi4&lt;$M95,((AK94*K28*($E$12-$M95+1))/servi4),0))</f>
        <v>#VALUE!</v>
      </c>
      <c r="AL95" s="79">
        <f>IF($M95&lt;servi4,((K28)^$M95)*(FACT($E$12))/(FACT($M95)*FACT($E$12-$M95)),0)</f>
        <v>0</v>
      </c>
      <c r="AM95" s="79">
        <f t="shared" si="73"/>
        <v>0</v>
      </c>
      <c r="AN95" s="79" t="e">
        <f t="shared" si="63"/>
        <v>#VALUE!</v>
      </c>
      <c r="AO95" s="97" t="e">
        <f t="shared" si="64"/>
        <v>#VALUE!</v>
      </c>
      <c r="AP95" s="96" t="e">
        <f>IF(M95&lt;=servi5,((AP94*K28*($E$12-$M95+1))/$M95),IF(servi5&lt;$M95,((AP94*K28*($E$12-$M95+1))/servi5),0))</f>
        <v>#VALUE!</v>
      </c>
      <c r="AQ95" s="79">
        <f>IF($M95&lt;servi5,((K28)^$M95)*(FACT($E$12))/(FACT($M95)*FACT($E$12-$M95)),0)</f>
        <v>0</v>
      </c>
      <c r="AR95" s="79">
        <f t="shared" si="74"/>
        <v>0</v>
      </c>
      <c r="AS95" s="79" t="e">
        <f t="shared" si="65"/>
        <v>#VALUE!</v>
      </c>
      <c r="AT95" s="97" t="e">
        <f t="shared" si="66"/>
        <v>#VALUE!</v>
      </c>
      <c r="AU95" s="96" t="e">
        <f>IF(M95&lt;=servi6,((AU94*K28*($E$12-$M95+1))/$M95),IF(servi6&lt;$M95,((AU94*K28*($E$12-$M95+1))/servi6),0))</f>
        <v>#VALUE!</v>
      </c>
      <c r="AV95" s="79">
        <f>IF($M95&lt;servi6,((K28)^$M95)*(FACT($E$12))/(FACT($M95)*FACT($E$12-$M95)),0)</f>
        <v>0</v>
      </c>
      <c r="AW95" s="79">
        <f t="shared" si="75"/>
        <v>0</v>
      </c>
      <c r="AX95" s="79" t="e">
        <f t="shared" si="67"/>
        <v>#VALUE!</v>
      </c>
      <c r="AY95" s="97" t="e">
        <f t="shared" si="68"/>
        <v>#VALUE!</v>
      </c>
    </row>
    <row r="96" spans="4:51" s="49" customFormat="1" ht="10.5" customHeight="1" x14ac:dyDescent="0.2">
      <c r="D96" s="82"/>
      <c r="J96" s="50"/>
      <c r="K96" s="51"/>
      <c r="M96" s="75">
        <v>88</v>
      </c>
      <c r="N96" s="78" t="str">
        <f>IF(E12&lt;&gt;"M",Q96,"")</f>
        <v/>
      </c>
      <c r="O96" s="78" t="e">
        <f t="shared" si="76"/>
        <v>#VALUE!</v>
      </c>
      <c r="Q96" s="96" t="e">
        <f>IF(M96&lt;=$E$8,((Q95*K28*($E$12-$M96+1))/$M96),IF($E$8&lt;$M96,((Q95*K28*($E$12-$M96+1))/$E$8),0))</f>
        <v>#VALUE!</v>
      </c>
      <c r="R96" s="79">
        <f>IF($M96&lt;$E$8,((K28)^$M96)*(FACT($E$12))/(FACT($M96)*FACT($E$12-$M96)),0)</f>
        <v>0</v>
      </c>
      <c r="S96" s="79">
        <f t="shared" si="69"/>
        <v>0</v>
      </c>
      <c r="T96" s="79" t="e">
        <f t="shared" si="77"/>
        <v>#VALUE!</v>
      </c>
      <c r="U96" s="97" t="e">
        <f t="shared" si="59"/>
        <v>#VALUE!</v>
      </c>
      <c r="V96" s="96" t="e">
        <f>IF(M96&lt;=servi1,((V95*K28*($E$12-$M96+1))/$M96),IF(servi1&lt;$M96,((V95*K28*($E$12-$M96+1))/servi1),0))</f>
        <v>#VALUE!</v>
      </c>
      <c r="W96" s="79">
        <f>IF($M96&lt;servi1,((K28)^$M96)*(FACT($E$12))/(FACT($M96)*FACT($E$12-$M96)),0)</f>
        <v>0</v>
      </c>
      <c r="X96" s="79">
        <f t="shared" si="70"/>
        <v>0</v>
      </c>
      <c r="Y96" s="79" t="e">
        <f>IF(AND($M96&gt;=servi1,$M96&lt;=$E$12),(((K28^($M96))*FACT($E$12))/((FACT(servi1))*(FACT($E$12-$M96))*(servi1^($M96-servi1)))),0)</f>
        <v>#VALUE!</v>
      </c>
      <c r="Z96" s="97" t="e">
        <f t="shared" si="60"/>
        <v>#VALUE!</v>
      </c>
      <c r="AA96" s="96" t="e">
        <f>IF(M96&lt;=servi2,((AA95*K28*($E$12-$M96+1))/$M96),IF(servi2&lt;$M96,((AA95*K28*($E$12-$M96+1))/servi2),0))</f>
        <v>#VALUE!</v>
      </c>
      <c r="AB96" s="79">
        <f>IF($M96&lt;servi2,((K28)^$M96)*(FACT($E$12))/(FACT($M96)*FACT($E$12-$M96)),0)</f>
        <v>0</v>
      </c>
      <c r="AC96" s="79">
        <f t="shared" si="71"/>
        <v>0</v>
      </c>
      <c r="AD96" s="79" t="e">
        <f>IF(AND($M96&gt;=servi2,$M96&lt;=$E$12),(((K28^($M96))*FACT($E$12))/((FACT(servi2))*(FACT($E$12-$M96))*(servi2^($M96-servi2)))),0)</f>
        <v>#VALUE!</v>
      </c>
      <c r="AE96" s="97" t="e">
        <f t="shared" si="61"/>
        <v>#VALUE!</v>
      </c>
      <c r="AF96" s="96" t="e">
        <f>IF(M96&lt;=servi3,((AF95*K28*($E$12-$M96+1))/$M96),IF(servi3&lt;$M96,((AF95*K28*($E$12-$M96+1))/servi3),0))</f>
        <v>#VALUE!</v>
      </c>
      <c r="AG96" s="79">
        <f>IF($M96&lt;servi3,((K28)^$M96)*(FACT($E$12))/(FACT($M96)*FACT($E$12-$M96)),0)</f>
        <v>0</v>
      </c>
      <c r="AH96" s="79">
        <f t="shared" si="72"/>
        <v>0</v>
      </c>
      <c r="AI96" s="79" t="e">
        <f>IF(AND($M96&gt;=servi3,$M96&lt;=$E$12),(((K28^($M96))*FACT($E$12))/((FACT(servi3))*(FACT($E$12-$M96))*(servi3^($M96-servi3)))),0)</f>
        <v>#VALUE!</v>
      </c>
      <c r="AJ96" s="97" t="e">
        <f t="shared" si="62"/>
        <v>#VALUE!</v>
      </c>
      <c r="AK96" s="96" t="e">
        <f>IF(M96&lt;=servi4,((AK95*K28*($E$12-$M96+1))/$M96),IF(servi4&lt;$M96,((AK95*K28*($E$12-$M96+1))/servi4),0))</f>
        <v>#VALUE!</v>
      </c>
      <c r="AL96" s="79">
        <f>IF($M96&lt;servi4,((K28)^$M96)*(FACT($E$12))/(FACT($M96)*FACT($E$12-$M96)),0)</f>
        <v>0</v>
      </c>
      <c r="AM96" s="79">
        <f t="shared" si="73"/>
        <v>0</v>
      </c>
      <c r="AN96" s="79" t="e">
        <f t="shared" si="63"/>
        <v>#VALUE!</v>
      </c>
      <c r="AO96" s="97" t="e">
        <f t="shared" si="64"/>
        <v>#VALUE!</v>
      </c>
      <c r="AP96" s="96" t="e">
        <f>IF(M96&lt;=servi5,((AP95*K28*($E$12-$M96+1))/$M96),IF(servi5&lt;$M96,((AP95*K28*($E$12-$M96+1))/servi5),0))</f>
        <v>#VALUE!</v>
      </c>
      <c r="AQ96" s="79">
        <f>IF($M96&lt;servi5,((K28)^$M96)*(FACT($E$12))/(FACT($M96)*FACT($E$12-$M96)),0)</f>
        <v>0</v>
      </c>
      <c r="AR96" s="79">
        <f t="shared" si="74"/>
        <v>0</v>
      </c>
      <c r="AS96" s="79" t="e">
        <f t="shared" si="65"/>
        <v>#VALUE!</v>
      </c>
      <c r="AT96" s="97" t="e">
        <f t="shared" si="66"/>
        <v>#VALUE!</v>
      </c>
      <c r="AU96" s="96" t="e">
        <f>IF(M96&lt;=servi6,((AU95*K28*($E$12-$M96+1))/$M96),IF(servi6&lt;$M96,((AU95*K28*($E$12-$M96+1))/servi6),0))</f>
        <v>#VALUE!</v>
      </c>
      <c r="AV96" s="79">
        <f>IF($M96&lt;servi6,((K28)^$M96)*(FACT($E$12))/(FACT($M96)*FACT($E$12-$M96)),0)</f>
        <v>0</v>
      </c>
      <c r="AW96" s="79">
        <f t="shared" si="75"/>
        <v>0</v>
      </c>
      <c r="AX96" s="79" t="e">
        <f t="shared" si="67"/>
        <v>#VALUE!</v>
      </c>
      <c r="AY96" s="97" t="e">
        <f t="shared" si="68"/>
        <v>#VALUE!</v>
      </c>
    </row>
    <row r="97" spans="4:51" s="49" customFormat="1" ht="10.5" customHeight="1" x14ac:dyDescent="0.2">
      <c r="D97" s="82"/>
      <c r="J97" s="50"/>
      <c r="K97" s="51"/>
      <c r="M97" s="75">
        <v>89</v>
      </c>
      <c r="N97" s="78" t="str">
        <f>IF(E12&lt;&gt;"M",Q97,"")</f>
        <v/>
      </c>
      <c r="O97" s="78" t="e">
        <f t="shared" si="76"/>
        <v>#VALUE!</v>
      </c>
      <c r="Q97" s="96" t="e">
        <f>IF(M97&lt;=$E$8,((Q96*K28*($E$12-$M97+1))/$M97),IF($E$8&lt;$M97,((Q96*K28*($E$12-$M97+1))/$E$8),0))</f>
        <v>#VALUE!</v>
      </c>
      <c r="R97" s="79">
        <f>IF($M97&lt;$E$8,((K28)^$M97)*(FACT($E$12))/(FACT($M97)*FACT($E$12-$M97)),0)</f>
        <v>0</v>
      </c>
      <c r="S97" s="79">
        <f t="shared" si="69"/>
        <v>0</v>
      </c>
      <c r="T97" s="79" t="e">
        <f t="shared" si="77"/>
        <v>#VALUE!</v>
      </c>
      <c r="U97" s="97" t="e">
        <f t="shared" si="59"/>
        <v>#VALUE!</v>
      </c>
      <c r="V97" s="96" t="e">
        <f>IF(M97&lt;=servi1,((V96*K28*($E$12-$M97+1))/$M97),IF(servi1&lt;$M97,((V96*K28*($E$12-$M97+1))/servi1),0))</f>
        <v>#VALUE!</v>
      </c>
      <c r="W97" s="79">
        <f>IF($M97&lt;servi1,((K28)^$M97)*(FACT($E$12))/(FACT($M97)*FACT($E$12-$M97)),0)</f>
        <v>0</v>
      </c>
      <c r="X97" s="79">
        <f t="shared" si="70"/>
        <v>0</v>
      </c>
      <c r="Y97" s="79" t="e">
        <f>IF(AND($M97&gt;=servi1,$M97&lt;=$E$12),(((K28^($M97))*FACT($E$12))/((FACT(servi1))*(FACT($E$12-$M97))*(servi1^($M97-servi1)))),0)</f>
        <v>#VALUE!</v>
      </c>
      <c r="Z97" s="97" t="e">
        <f t="shared" si="60"/>
        <v>#VALUE!</v>
      </c>
      <c r="AA97" s="96" t="e">
        <f>IF(M97&lt;=servi2,((AA96*K28*($E$12-$M97+1))/$M97),IF(servi2&lt;$M97,((AA96*K28*($E$12-$M97+1))/servi2),0))</f>
        <v>#VALUE!</v>
      </c>
      <c r="AB97" s="79">
        <f>IF($M97&lt;servi2,((K28)^$M97)*(FACT($E$12))/(FACT($M97)*FACT($E$12-$M97)),0)</f>
        <v>0</v>
      </c>
      <c r="AC97" s="79">
        <f t="shared" si="71"/>
        <v>0</v>
      </c>
      <c r="AD97" s="79" t="e">
        <f>IF(AND($M97&gt;=servi2,$M97&lt;=$E$12),(((K28^($M97))*FACT($E$12))/((FACT(servi2))*(FACT($E$12-$M97))*(servi2^($M97-servi2)))),0)</f>
        <v>#VALUE!</v>
      </c>
      <c r="AE97" s="97" t="e">
        <f t="shared" si="61"/>
        <v>#VALUE!</v>
      </c>
      <c r="AF97" s="96" t="e">
        <f>IF(M97&lt;=servi3,((AF96*K28*($E$12-$M97+1))/$M97),IF(servi3&lt;$M97,((AF96*K28*($E$12-$M97+1))/servi3),0))</f>
        <v>#VALUE!</v>
      </c>
      <c r="AG97" s="79">
        <f>IF($M97&lt;servi3,((K28)^$M97)*(FACT($E$12))/(FACT($M97)*FACT($E$12-$M97)),0)</f>
        <v>0</v>
      </c>
      <c r="AH97" s="79">
        <f t="shared" si="72"/>
        <v>0</v>
      </c>
      <c r="AI97" s="79" t="e">
        <f>IF(AND($M97&gt;=servi3,$M97&lt;=$E$12),(((K28^($M97))*FACT($E$12))/((FACT(servi3))*(FACT($E$12-$M97))*(servi3^($M97-servi3)))),0)</f>
        <v>#VALUE!</v>
      </c>
      <c r="AJ97" s="97" t="e">
        <f t="shared" si="62"/>
        <v>#VALUE!</v>
      </c>
      <c r="AK97" s="96" t="e">
        <f>IF(M97&lt;=servi4,((AK96*K28*($E$12-$M97+1))/$M97),IF(servi4&lt;$M97,((AK96*K28*($E$12-$M97+1))/servi4),0))</f>
        <v>#VALUE!</v>
      </c>
      <c r="AL97" s="79">
        <f>IF($M97&lt;servi4,((K28)^$M97)*(FACT($E$12))/(FACT($M97)*FACT($E$12-$M97)),0)</f>
        <v>0</v>
      </c>
      <c r="AM97" s="79">
        <f t="shared" si="73"/>
        <v>0</v>
      </c>
      <c r="AN97" s="79" t="e">
        <f t="shared" si="63"/>
        <v>#VALUE!</v>
      </c>
      <c r="AO97" s="97" t="e">
        <f t="shared" si="64"/>
        <v>#VALUE!</v>
      </c>
      <c r="AP97" s="96" t="e">
        <f>IF(M97&lt;=servi5,((AP96*K28*($E$12-$M97+1))/$M97),IF(servi5&lt;$M97,((AP96*K28*($E$12-$M97+1))/servi5),0))</f>
        <v>#VALUE!</v>
      </c>
      <c r="AQ97" s="79">
        <f>IF($M97&lt;servi5,((K28)^$M97)*(FACT($E$12))/(FACT($M97)*FACT($E$12-$M97)),0)</f>
        <v>0</v>
      </c>
      <c r="AR97" s="79">
        <f t="shared" si="74"/>
        <v>0</v>
      </c>
      <c r="AS97" s="79" t="e">
        <f t="shared" si="65"/>
        <v>#VALUE!</v>
      </c>
      <c r="AT97" s="97" t="e">
        <f t="shared" si="66"/>
        <v>#VALUE!</v>
      </c>
      <c r="AU97" s="96" t="e">
        <f>IF(M97&lt;=servi6,((AU96*K28*($E$12-$M97+1))/$M97),IF(servi6&lt;$M97,((AU96*K28*($E$12-$M97+1))/servi6),0))</f>
        <v>#VALUE!</v>
      </c>
      <c r="AV97" s="79">
        <f>IF($M97&lt;servi6,((K28)^$M97)*(FACT($E$12))/(FACT($M97)*FACT($E$12-$M97)),0)</f>
        <v>0</v>
      </c>
      <c r="AW97" s="79">
        <f t="shared" si="75"/>
        <v>0</v>
      </c>
      <c r="AX97" s="79" t="e">
        <f t="shared" si="67"/>
        <v>#VALUE!</v>
      </c>
      <c r="AY97" s="97" t="e">
        <f t="shared" si="68"/>
        <v>#VALUE!</v>
      </c>
    </row>
    <row r="98" spans="4:51" s="49" customFormat="1" ht="10.5" customHeight="1" x14ac:dyDescent="0.2">
      <c r="D98" s="82"/>
      <c r="J98" s="50"/>
      <c r="K98" s="51"/>
      <c r="M98" s="75">
        <v>90</v>
      </c>
      <c r="N98" s="78" t="str">
        <f>IF(E12&lt;&gt;"M",Q98,"")</f>
        <v/>
      </c>
      <c r="O98" s="78" t="e">
        <f t="shared" si="76"/>
        <v>#VALUE!</v>
      </c>
      <c r="Q98" s="96" t="e">
        <f>IF(M98&lt;=$E$8,((Q97*K28*($E$12-$M98+1))/$M98),IF($E$8&lt;$M98,((Q97*K28*($E$12-$M98+1))/$E$8),0))</f>
        <v>#VALUE!</v>
      </c>
      <c r="R98" s="79">
        <f>IF($M98&lt;$E$8,((K28)^$M98)*(FACT($E$12))/(FACT($M98)*FACT($E$12-$M98)),0)</f>
        <v>0</v>
      </c>
      <c r="S98" s="79">
        <f t="shared" si="69"/>
        <v>0</v>
      </c>
      <c r="T98" s="79" t="e">
        <f t="shared" si="77"/>
        <v>#VALUE!</v>
      </c>
      <c r="U98" s="97" t="e">
        <f t="shared" si="59"/>
        <v>#VALUE!</v>
      </c>
      <c r="V98" s="96" t="e">
        <f>IF(M98&lt;=servi1,((V97*K28*($E$12-$M98+1))/$M98),IF(servi1&lt;$M98,((V97*K28*($E$12-$M98+1))/servi1),0))</f>
        <v>#VALUE!</v>
      </c>
      <c r="W98" s="79">
        <f>IF($M98&lt;servi1,((K28)^$M98)*(FACT($E$12))/(FACT($M98)*FACT($E$12-$M98)),0)</f>
        <v>0</v>
      </c>
      <c r="X98" s="79">
        <f t="shared" si="70"/>
        <v>0</v>
      </c>
      <c r="Y98" s="79" t="e">
        <f>IF(AND($M98&gt;=servi1,$M98&lt;=$E$12),(((K28^($M98))*FACT($E$12))/((FACT(servi1))*(FACT($E$12-$M98))*(servi1^($M98-servi1)))),0)</f>
        <v>#VALUE!</v>
      </c>
      <c r="Z98" s="97" t="e">
        <f t="shared" si="60"/>
        <v>#VALUE!</v>
      </c>
      <c r="AA98" s="96" t="e">
        <f>IF(M98&lt;=servi2,((AA97*K28*($E$12-$M98+1))/$M98),IF(servi2&lt;$M98,((AA97*K28*($E$12-$M98+1))/servi2),0))</f>
        <v>#VALUE!</v>
      </c>
      <c r="AB98" s="79">
        <f>IF($M98&lt;servi2,((K28)^$M98)*(FACT($E$12))/(FACT($M98)*FACT($E$12-$M98)),0)</f>
        <v>0</v>
      </c>
      <c r="AC98" s="79">
        <f t="shared" si="71"/>
        <v>0</v>
      </c>
      <c r="AD98" s="79" t="e">
        <f>IF(AND($M98&gt;=servi2,$M98&lt;=$E$12),(((K28^($M98))*FACT($E$12))/((FACT(servi2))*(FACT($E$12-$M98))*(servi2^($M98-servi2)))),0)</f>
        <v>#VALUE!</v>
      </c>
      <c r="AE98" s="97" t="e">
        <f t="shared" si="61"/>
        <v>#VALUE!</v>
      </c>
      <c r="AF98" s="96" t="e">
        <f>IF(M98&lt;=servi3,((AF97*K28*($E$12-$M98+1))/$M98),IF(servi3&lt;$M98,((AF97*K28*($E$12-$M98+1))/servi3),0))</f>
        <v>#VALUE!</v>
      </c>
      <c r="AG98" s="79">
        <f>IF($M98&lt;servi3,((K28)^$M98)*(FACT($E$12))/(FACT($M98)*FACT($E$12-$M98)),0)</f>
        <v>0</v>
      </c>
      <c r="AH98" s="79">
        <f t="shared" si="72"/>
        <v>0</v>
      </c>
      <c r="AI98" s="79" t="e">
        <f>IF(AND($M98&gt;=servi3,$M98&lt;=$E$12),(((K28^($M98))*FACT($E$12))/((FACT(servi3))*(FACT($E$12-$M98))*(servi3^($M98-servi3)))),0)</f>
        <v>#VALUE!</v>
      </c>
      <c r="AJ98" s="97" t="e">
        <f t="shared" si="62"/>
        <v>#VALUE!</v>
      </c>
      <c r="AK98" s="96" t="e">
        <f>IF(M98&lt;=servi4,((AK97*K28*($E$12-$M98+1))/$M98),IF(servi4&lt;$M98,((AK97*K28*($E$12-$M98+1))/servi4),0))</f>
        <v>#VALUE!</v>
      </c>
      <c r="AL98" s="79">
        <f>IF($M98&lt;servi4,((K28)^$M98)*(FACT($E$12))/(FACT($M98)*FACT($E$12-$M98)),0)</f>
        <v>0</v>
      </c>
      <c r="AM98" s="79">
        <f t="shared" si="73"/>
        <v>0</v>
      </c>
      <c r="AN98" s="79" t="e">
        <f t="shared" si="63"/>
        <v>#VALUE!</v>
      </c>
      <c r="AO98" s="97" t="e">
        <f t="shared" si="64"/>
        <v>#VALUE!</v>
      </c>
      <c r="AP98" s="96" t="e">
        <f>IF(M98&lt;=servi5,((AP97*K28*($E$12-$M98+1))/$M98),IF(servi5&lt;$M98,((AP97*K28*($E$12-$M98+1))/servi5),0))</f>
        <v>#VALUE!</v>
      </c>
      <c r="AQ98" s="79">
        <f>IF($M98&lt;servi5,((K28)^$M98)*(FACT($E$12))/(FACT($M98)*FACT($E$12-$M98)),0)</f>
        <v>0</v>
      </c>
      <c r="AR98" s="79">
        <f t="shared" si="74"/>
        <v>0</v>
      </c>
      <c r="AS98" s="79" t="e">
        <f t="shared" si="65"/>
        <v>#VALUE!</v>
      </c>
      <c r="AT98" s="97" t="e">
        <f t="shared" si="66"/>
        <v>#VALUE!</v>
      </c>
      <c r="AU98" s="96" t="e">
        <f>IF(M98&lt;=servi6,((AU97*K28*($E$12-$M98+1))/$M98),IF(servi6&lt;$M98,((AU97*K28*($E$12-$M98+1))/servi6),0))</f>
        <v>#VALUE!</v>
      </c>
      <c r="AV98" s="79">
        <f>IF($M98&lt;servi6,((K28)^$M98)*(FACT($E$12))/(FACT($M98)*FACT($E$12-$M98)),0)</f>
        <v>0</v>
      </c>
      <c r="AW98" s="79">
        <f t="shared" si="75"/>
        <v>0</v>
      </c>
      <c r="AX98" s="79" t="e">
        <f t="shared" si="67"/>
        <v>#VALUE!</v>
      </c>
      <c r="AY98" s="97" t="e">
        <f t="shared" si="68"/>
        <v>#VALUE!</v>
      </c>
    </row>
    <row r="99" spans="4:51" s="49" customFormat="1" ht="10.5" customHeight="1" x14ac:dyDescent="0.2">
      <c r="D99" s="82"/>
      <c r="J99" s="50"/>
      <c r="K99" s="51"/>
      <c r="M99" s="75">
        <v>91</v>
      </c>
      <c r="N99" s="78" t="str">
        <f>IF(E12&lt;&gt;"M",Q99,"")</f>
        <v/>
      </c>
      <c r="O99" s="78" t="e">
        <f t="shared" si="76"/>
        <v>#VALUE!</v>
      </c>
      <c r="Q99" s="96" t="e">
        <f>IF(M99&lt;=$E$8,((Q98*K28*($E$12-$M99+1))/$M99),IF($E$8&lt;$M99,((Q98*K28*($E$12-$M99+1))/$E$8),0))</f>
        <v>#VALUE!</v>
      </c>
      <c r="R99" s="79">
        <f>IF($M99&lt;$E$8,((K28)^$M99)*(FACT($E$12))/(FACT($M99)*FACT($E$12-$M99)),0)</f>
        <v>0</v>
      </c>
      <c r="S99" s="79">
        <f t="shared" si="69"/>
        <v>0</v>
      </c>
      <c r="T99" s="79" t="e">
        <f t="shared" si="77"/>
        <v>#VALUE!</v>
      </c>
      <c r="U99" s="97" t="e">
        <f t="shared" si="59"/>
        <v>#VALUE!</v>
      </c>
      <c r="V99" s="96" t="e">
        <f>IF(M99&lt;=servi1,((V98*K28*($E$12-$M99+1))/$M99),IF(servi1&lt;$M99,((V98*K28*($E$12-$M99+1))/servi1),0))</f>
        <v>#VALUE!</v>
      </c>
      <c r="W99" s="79">
        <f>IF($M99&lt;servi1,((K28)^$M99)*(FACT($E$12))/(FACT($M99)*FACT($E$12-$M99)),0)</f>
        <v>0</v>
      </c>
      <c r="X99" s="79">
        <f t="shared" si="70"/>
        <v>0</v>
      </c>
      <c r="Y99" s="79" t="e">
        <f>IF(AND($M99&gt;=servi1,$M99&lt;=$E$12),(((K28^($M99))*FACT($E$12))/((FACT(servi1))*(FACT($E$12-$M99))*(servi1^($M99-servi1)))),0)</f>
        <v>#VALUE!</v>
      </c>
      <c r="Z99" s="97" t="e">
        <f t="shared" si="60"/>
        <v>#VALUE!</v>
      </c>
      <c r="AA99" s="96" t="e">
        <f>IF(M99&lt;=servi2,((AA98*K28*($E$12-$M99+1))/$M99),IF(servi2&lt;$M99,((AA98*K28*($E$12-$M99+1))/servi2),0))</f>
        <v>#VALUE!</v>
      </c>
      <c r="AB99" s="79">
        <f>IF($M99&lt;servi2,((K28)^$M99)*(FACT($E$12))/(FACT($M99)*FACT($E$12-$M99)),0)</f>
        <v>0</v>
      </c>
      <c r="AC99" s="79">
        <f t="shared" si="71"/>
        <v>0</v>
      </c>
      <c r="AD99" s="79" t="e">
        <f>IF(AND($M99&gt;=servi2,$M99&lt;=$E$12),(((K28^($M99))*FACT($E$12))/((FACT(servi2))*(FACT($E$12-$M99))*(servi2^($M99-servi2)))),0)</f>
        <v>#VALUE!</v>
      </c>
      <c r="AE99" s="97" t="e">
        <f t="shared" si="61"/>
        <v>#VALUE!</v>
      </c>
      <c r="AF99" s="96" t="e">
        <f>IF(M99&lt;=servi3,((AF98*K28*($E$12-$M99+1))/$M99),IF(servi3&lt;$M99,((AF98*K28*($E$12-$M99+1))/servi3),0))</f>
        <v>#VALUE!</v>
      </c>
      <c r="AG99" s="79">
        <f>IF($M99&lt;servi3,((K28)^$M99)*(FACT($E$12))/(FACT($M99)*FACT($E$12-$M99)),0)</f>
        <v>0</v>
      </c>
      <c r="AH99" s="79">
        <f t="shared" si="72"/>
        <v>0</v>
      </c>
      <c r="AI99" s="79" t="e">
        <f>IF(AND($M99&gt;=servi3,$M99&lt;=$E$12),(((K28^($M99))*FACT($E$12))/((FACT(servi3))*(FACT($E$12-$M99))*(servi3^($M99-servi3)))),0)</f>
        <v>#VALUE!</v>
      </c>
      <c r="AJ99" s="97" t="e">
        <f t="shared" si="62"/>
        <v>#VALUE!</v>
      </c>
      <c r="AK99" s="96" t="e">
        <f>IF(M99&lt;=servi4,((AK98*K28*($E$12-$M99+1))/$M99),IF(servi4&lt;$M99,((AK98*K28*($E$12-$M99+1))/servi4),0))</f>
        <v>#VALUE!</v>
      </c>
      <c r="AL99" s="79">
        <f>IF($M99&lt;servi4,((K28)^$M99)*(FACT($E$12))/(FACT($M99)*FACT($E$12-$M99)),0)</f>
        <v>0</v>
      </c>
      <c r="AM99" s="79">
        <f t="shared" si="73"/>
        <v>0</v>
      </c>
      <c r="AN99" s="79" t="e">
        <f t="shared" si="63"/>
        <v>#VALUE!</v>
      </c>
      <c r="AO99" s="97" t="e">
        <f t="shared" si="64"/>
        <v>#VALUE!</v>
      </c>
      <c r="AP99" s="96" t="e">
        <f>IF(M99&lt;=servi5,((AP98*K28*($E$12-$M99+1))/$M99),IF(servi5&lt;$M99,((AP98*K28*($E$12-$M99+1))/servi5),0))</f>
        <v>#VALUE!</v>
      </c>
      <c r="AQ99" s="79">
        <f>IF($M99&lt;servi5,((K28)^$M99)*(FACT($E$12))/(FACT($M99)*FACT($E$12-$M99)),0)</f>
        <v>0</v>
      </c>
      <c r="AR99" s="79">
        <f t="shared" si="74"/>
        <v>0</v>
      </c>
      <c r="AS99" s="79" t="e">
        <f t="shared" si="65"/>
        <v>#VALUE!</v>
      </c>
      <c r="AT99" s="97" t="e">
        <f t="shared" si="66"/>
        <v>#VALUE!</v>
      </c>
      <c r="AU99" s="96" t="e">
        <f>IF(M99&lt;=servi6,((AU98*K28*($E$12-$M99+1))/$M99),IF(servi6&lt;$M99,((AU98*K28*($E$12-$M99+1))/servi6),0))</f>
        <v>#VALUE!</v>
      </c>
      <c r="AV99" s="79">
        <f>IF($M99&lt;servi6,((K28)^$M99)*(FACT($E$12))/(FACT($M99)*FACT($E$12-$M99)),0)</f>
        <v>0</v>
      </c>
      <c r="AW99" s="79">
        <f t="shared" si="75"/>
        <v>0</v>
      </c>
      <c r="AX99" s="79" t="e">
        <f t="shared" si="67"/>
        <v>#VALUE!</v>
      </c>
      <c r="AY99" s="97" t="e">
        <f t="shared" si="68"/>
        <v>#VALUE!</v>
      </c>
    </row>
    <row r="100" spans="4:51" s="49" customFormat="1" ht="10.5" customHeight="1" x14ac:dyDescent="0.2">
      <c r="D100" s="82"/>
      <c r="J100" s="50"/>
      <c r="K100" s="51"/>
      <c r="M100" s="75">
        <v>92</v>
      </c>
      <c r="N100" s="78" t="str">
        <f>IF(E12&lt;&gt;"M",Q100,"")</f>
        <v/>
      </c>
      <c r="O100" s="78" t="e">
        <f t="shared" si="76"/>
        <v>#VALUE!</v>
      </c>
      <c r="Q100" s="96" t="e">
        <f>IF(M100&lt;=$E$8,((Q99*K28*($E$12-$M100+1))/$M100),IF($E$8&lt;$M100,((Q99*K28*($E$12-$M100+1))/$E$8),0))</f>
        <v>#VALUE!</v>
      </c>
      <c r="R100" s="79">
        <f>IF($M100&lt;$E$8,((K28)^$M100)*(FACT($E$12))/(FACT($M100)*FACT($E$12-$M100)),0)</f>
        <v>0</v>
      </c>
      <c r="S100" s="79">
        <f t="shared" si="69"/>
        <v>0</v>
      </c>
      <c r="T100" s="79" t="e">
        <f t="shared" si="77"/>
        <v>#VALUE!</v>
      </c>
      <c r="U100" s="97" t="e">
        <f t="shared" si="59"/>
        <v>#VALUE!</v>
      </c>
      <c r="V100" s="96" t="e">
        <f>IF(M100&lt;=servi1,((V99*K28*($E$12-$M100+1))/$M100),IF(servi1&lt;$M100,((V99*K28*($E$12-$M100+1))/servi1),0))</f>
        <v>#VALUE!</v>
      </c>
      <c r="W100" s="79">
        <f>IF($M100&lt;servi1,((K28)^$M100)*(FACT($E$12))/(FACT($M100)*FACT($E$12-$M100)),0)</f>
        <v>0</v>
      </c>
      <c r="X100" s="79">
        <f t="shared" si="70"/>
        <v>0</v>
      </c>
      <c r="Y100" s="79" t="e">
        <f>IF(AND($M100&gt;=servi1,$M100&lt;=$E$12),(((K28^($M100))*FACT($E$12))/((FACT(servi1))*(FACT($E$12-$M100))*(servi1^($M100-servi1)))),0)</f>
        <v>#VALUE!</v>
      </c>
      <c r="Z100" s="97" t="e">
        <f t="shared" si="60"/>
        <v>#VALUE!</v>
      </c>
      <c r="AA100" s="96" t="e">
        <f>IF(M100&lt;=servi2,((AA99*K28*($E$12-$M100+1))/$M100),IF(servi2&lt;$M100,((AA99*K28*($E$12-$M100+1))/servi2),0))</f>
        <v>#VALUE!</v>
      </c>
      <c r="AB100" s="79">
        <f>IF($M100&lt;servi2,((K28)^$M100)*(FACT($E$12))/(FACT($M100)*FACT($E$12-$M100)),0)</f>
        <v>0</v>
      </c>
      <c r="AC100" s="79">
        <f t="shared" si="71"/>
        <v>0</v>
      </c>
      <c r="AD100" s="79" t="e">
        <f>IF(AND($M100&gt;=servi2,$M100&lt;=$E$12),(((K28^($M100))*FACT($E$12))/((FACT(servi2))*(FACT($E$12-$M100))*(servi2^($M100-servi2)))),0)</f>
        <v>#VALUE!</v>
      </c>
      <c r="AE100" s="97" t="e">
        <f t="shared" si="61"/>
        <v>#VALUE!</v>
      </c>
      <c r="AF100" s="96" t="e">
        <f>IF(M100&lt;=servi3,((AF99*K28*($E$12-$M100+1))/$M100),IF(servi3&lt;$M100,((AF99*K28*($E$12-$M100+1))/servi3),0))</f>
        <v>#VALUE!</v>
      </c>
      <c r="AG100" s="79">
        <f>IF($M100&lt;servi3,((K28)^$M100)*(FACT($E$12))/(FACT($M100)*FACT($E$12-$M100)),0)</f>
        <v>0</v>
      </c>
      <c r="AH100" s="79">
        <f t="shared" si="72"/>
        <v>0</v>
      </c>
      <c r="AI100" s="79" t="e">
        <f>IF(AND($M100&gt;=servi3,$M100&lt;=$E$12),(((K28^($M100))*FACT($E$12))/((FACT(servi3))*(FACT($E$12-$M100))*(servi3^($M100-servi3)))),0)</f>
        <v>#VALUE!</v>
      </c>
      <c r="AJ100" s="97" t="e">
        <f t="shared" si="62"/>
        <v>#VALUE!</v>
      </c>
      <c r="AK100" s="96" t="e">
        <f>IF(M100&lt;=servi4,((AK99*K28*($E$12-$M100+1))/$M100),IF(servi4&lt;$M100,((AK99*K28*($E$12-$M100+1))/servi4),0))</f>
        <v>#VALUE!</v>
      </c>
      <c r="AL100" s="79">
        <f>IF($M100&lt;servi4,((K28)^$M100)*(FACT($E$12))/(FACT($M100)*FACT($E$12-$M100)),0)</f>
        <v>0</v>
      </c>
      <c r="AM100" s="79">
        <f t="shared" si="73"/>
        <v>0</v>
      </c>
      <c r="AN100" s="79" t="e">
        <f t="shared" si="63"/>
        <v>#VALUE!</v>
      </c>
      <c r="AO100" s="97" t="e">
        <f t="shared" si="64"/>
        <v>#VALUE!</v>
      </c>
      <c r="AP100" s="96" t="e">
        <f>IF(M100&lt;=servi5,((AP99*K28*($E$12-$M100+1))/$M100),IF(servi5&lt;$M100,((AP99*K28*($E$12-$M100+1))/servi5),0))</f>
        <v>#VALUE!</v>
      </c>
      <c r="AQ100" s="79">
        <f>IF($M100&lt;servi5,((K28)^$M100)*(FACT($E$12))/(FACT($M100)*FACT($E$12-$M100)),0)</f>
        <v>0</v>
      </c>
      <c r="AR100" s="79">
        <f t="shared" si="74"/>
        <v>0</v>
      </c>
      <c r="AS100" s="79" t="e">
        <f t="shared" si="65"/>
        <v>#VALUE!</v>
      </c>
      <c r="AT100" s="97" t="e">
        <f t="shared" si="66"/>
        <v>#VALUE!</v>
      </c>
      <c r="AU100" s="96" t="e">
        <f>IF(M100&lt;=servi6,((AU99*K28*($E$12-$M100+1))/$M100),IF(servi6&lt;$M100,((AU99*K28*($E$12-$M100+1))/servi6),0))</f>
        <v>#VALUE!</v>
      </c>
      <c r="AV100" s="79">
        <f>IF($M100&lt;servi6,((K28)^$M100)*(FACT($E$12))/(FACT($M100)*FACT($E$12-$M100)),0)</f>
        <v>0</v>
      </c>
      <c r="AW100" s="79">
        <f t="shared" si="75"/>
        <v>0</v>
      </c>
      <c r="AX100" s="79" t="e">
        <f t="shared" si="67"/>
        <v>#VALUE!</v>
      </c>
      <c r="AY100" s="97" t="e">
        <f t="shared" si="68"/>
        <v>#VALUE!</v>
      </c>
    </row>
    <row r="101" spans="4:51" s="49" customFormat="1" ht="10.5" customHeight="1" x14ac:dyDescent="0.2">
      <c r="D101" s="82"/>
      <c r="J101" s="50"/>
      <c r="K101" s="51"/>
      <c r="M101" s="75">
        <v>93</v>
      </c>
      <c r="N101" s="78" t="str">
        <f>IF(E12&lt;&gt;"M",Q101,"")</f>
        <v/>
      </c>
      <c r="O101" s="78" t="e">
        <f t="shared" si="76"/>
        <v>#VALUE!</v>
      </c>
      <c r="Q101" s="96" t="e">
        <f>IF(M101&lt;=$E$8,((Q100*K28*($E$12-$M101+1))/$M101),IF($E$8&lt;$M101,((Q100*K28*($E$12-$M101+1))/$E$8),0))</f>
        <v>#VALUE!</v>
      </c>
      <c r="R101" s="79">
        <f>IF($M101&lt;$E$8,((K28)^$M101)*(FACT($E$12))/(FACT($M101)*FACT($E$12-$M101)),0)</f>
        <v>0</v>
      </c>
      <c r="S101" s="79">
        <f t="shared" si="69"/>
        <v>0</v>
      </c>
      <c r="T101" s="79" t="e">
        <f t="shared" si="77"/>
        <v>#VALUE!</v>
      </c>
      <c r="U101" s="97" t="e">
        <f t="shared" si="59"/>
        <v>#VALUE!</v>
      </c>
      <c r="V101" s="96" t="e">
        <f>IF(M101&lt;=servi1,((V100*K28*($E$12-$M101+1))/$M101),IF(servi1&lt;$M101,((V100*K28*($E$12-$M101+1))/servi1),0))</f>
        <v>#VALUE!</v>
      </c>
      <c r="W101" s="79">
        <f>IF($M101&lt;servi1,((K28)^$M101)*(FACT($E$12))/(FACT($M101)*FACT($E$12-$M101)),0)</f>
        <v>0</v>
      </c>
      <c r="X101" s="79">
        <f t="shared" si="70"/>
        <v>0</v>
      </c>
      <c r="Y101" s="79" t="e">
        <f>IF(AND($M101&gt;=servi1,$M101&lt;=$E$12),(((K28^($M101))*FACT($E$12))/((FACT(servi1))*(FACT($E$12-$M101))*(servi1^($M101-servi1)))),0)</f>
        <v>#VALUE!</v>
      </c>
      <c r="Z101" s="97" t="e">
        <f t="shared" si="60"/>
        <v>#VALUE!</v>
      </c>
      <c r="AA101" s="96" t="e">
        <f>IF(M101&lt;=servi2,((AA100*K28*($E$12-$M101+1))/$M101),IF(servi2&lt;$M101,((AA100*K28*($E$12-$M101+1))/servi2),0))</f>
        <v>#VALUE!</v>
      </c>
      <c r="AB101" s="79">
        <f>IF($M101&lt;servi2,((K28)^$M101)*(FACT($E$12))/(FACT($M101)*FACT($E$12-$M101)),0)</f>
        <v>0</v>
      </c>
      <c r="AC101" s="79">
        <f t="shared" si="71"/>
        <v>0</v>
      </c>
      <c r="AD101" s="79" t="e">
        <f>IF(AND($M101&gt;=servi2,$M101&lt;=$E$12),(((K28^($M101))*FACT($E$12))/((FACT(servi2))*(FACT($E$12-$M101))*(servi2^($M101-servi2)))),0)</f>
        <v>#VALUE!</v>
      </c>
      <c r="AE101" s="97" t="e">
        <f t="shared" si="61"/>
        <v>#VALUE!</v>
      </c>
      <c r="AF101" s="96" t="e">
        <f>IF(M101&lt;=servi3,((AF100*K28*($E$12-$M101+1))/$M101),IF(servi3&lt;$M101,((AF100*K28*($E$12-$M101+1))/servi3),0))</f>
        <v>#VALUE!</v>
      </c>
      <c r="AG101" s="79">
        <f>IF($M101&lt;servi3,((K28)^$M101)*(FACT($E$12))/(FACT($M101)*FACT($E$12-$M101)),0)</f>
        <v>0</v>
      </c>
      <c r="AH101" s="79">
        <f t="shared" si="72"/>
        <v>0</v>
      </c>
      <c r="AI101" s="79" t="e">
        <f>IF(AND($M101&gt;=servi3,$M101&lt;=$E$12),(((K28^($M101))*FACT($E$12))/((FACT(servi3))*(FACT($E$12-$M101))*(servi3^($M101-servi3)))),0)</f>
        <v>#VALUE!</v>
      </c>
      <c r="AJ101" s="97" t="e">
        <f t="shared" si="62"/>
        <v>#VALUE!</v>
      </c>
      <c r="AK101" s="96" t="e">
        <f>IF(M101&lt;=servi4,((AK100*K28*($E$12-$M101+1))/$M101),IF(servi4&lt;$M101,((AK100*K28*($E$12-$M101+1))/servi4),0))</f>
        <v>#VALUE!</v>
      </c>
      <c r="AL101" s="79">
        <f>IF($M101&lt;servi4,((K28)^$M101)*(FACT($E$12))/(FACT($M101)*FACT($E$12-$M101)),0)</f>
        <v>0</v>
      </c>
      <c r="AM101" s="79">
        <f t="shared" si="73"/>
        <v>0</v>
      </c>
      <c r="AN101" s="79" t="e">
        <f t="shared" si="63"/>
        <v>#VALUE!</v>
      </c>
      <c r="AO101" s="97" t="e">
        <f t="shared" si="64"/>
        <v>#VALUE!</v>
      </c>
      <c r="AP101" s="96" t="e">
        <f>IF(M101&lt;=servi5,((AP100*K28*($E$12-$M101+1))/$M101),IF(servi5&lt;$M101,((AP100*K28*($E$12-$M101+1))/servi5),0))</f>
        <v>#VALUE!</v>
      </c>
      <c r="AQ101" s="79">
        <f>IF($M101&lt;servi5,((K28)^$M101)*(FACT($E$12))/(FACT($M101)*FACT($E$12-$M101)),0)</f>
        <v>0</v>
      </c>
      <c r="AR101" s="79">
        <f t="shared" si="74"/>
        <v>0</v>
      </c>
      <c r="AS101" s="79" t="e">
        <f t="shared" si="65"/>
        <v>#VALUE!</v>
      </c>
      <c r="AT101" s="97" t="e">
        <f t="shared" si="66"/>
        <v>#VALUE!</v>
      </c>
      <c r="AU101" s="96" t="e">
        <f>IF(M101&lt;=servi6,((AU100*K28*($E$12-$M101+1))/$M101),IF(servi6&lt;$M101,((AU100*K28*($E$12-$M101+1))/servi6),0))</f>
        <v>#VALUE!</v>
      </c>
      <c r="AV101" s="79">
        <f>IF($M101&lt;servi6,((K28)^$M101)*(FACT($E$12))/(FACT($M101)*FACT($E$12-$M101)),0)</f>
        <v>0</v>
      </c>
      <c r="AW101" s="79">
        <f t="shared" si="75"/>
        <v>0</v>
      </c>
      <c r="AX101" s="79" t="e">
        <f t="shared" si="67"/>
        <v>#VALUE!</v>
      </c>
      <c r="AY101" s="97" t="e">
        <f t="shared" si="68"/>
        <v>#VALUE!</v>
      </c>
    </row>
    <row r="102" spans="4:51" s="49" customFormat="1" ht="10.5" customHeight="1" x14ac:dyDescent="0.2">
      <c r="D102" s="82"/>
      <c r="J102" s="50"/>
      <c r="K102" s="51"/>
      <c r="M102" s="75">
        <v>94</v>
      </c>
      <c r="N102" s="78" t="str">
        <f>IF(E12&lt;&gt;"M",Q102,"")</f>
        <v/>
      </c>
      <c r="O102" s="78" t="e">
        <f t="shared" si="76"/>
        <v>#VALUE!</v>
      </c>
      <c r="Q102" s="96" t="e">
        <f>IF(M102&lt;=$E$8,((Q101*K28*($E$12-$M102+1))/$M102),IF($E$8&lt;$M102,((Q101*K28*($E$12-$M102+1))/$E$8),0))</f>
        <v>#VALUE!</v>
      </c>
      <c r="R102" s="79">
        <f>IF($M102&lt;$E$8,((K28)^$M102)*(FACT($E$12))/(FACT($M102)*FACT($E$12-$M102)),0)</f>
        <v>0</v>
      </c>
      <c r="S102" s="79">
        <f t="shared" si="69"/>
        <v>0</v>
      </c>
      <c r="T102" s="79" t="e">
        <f t="shared" si="77"/>
        <v>#VALUE!</v>
      </c>
      <c r="U102" s="97" t="e">
        <f t="shared" si="59"/>
        <v>#VALUE!</v>
      </c>
      <c r="V102" s="96" t="e">
        <f>IF(M102&lt;=servi1,((V101*K28*($E$12-$M102+1))/$M102),IF(servi1&lt;$M102,((V101*K28*($E$12-$M102+1))/servi1),0))</f>
        <v>#VALUE!</v>
      </c>
      <c r="W102" s="79">
        <f>IF($M102&lt;servi1,((K28)^$M102)*(FACT($E$12))/(FACT($M102)*FACT($E$12-$M102)),0)</f>
        <v>0</v>
      </c>
      <c r="X102" s="79">
        <f t="shared" si="70"/>
        <v>0</v>
      </c>
      <c r="Y102" s="79" t="e">
        <f>IF(AND($M102&gt;=servi1,$M102&lt;=$E$12),(((K28^($M102))*FACT($E$12))/((FACT(servi1))*(FACT($E$12-$M102))*(servi1^($M102-servi1)))),0)</f>
        <v>#VALUE!</v>
      </c>
      <c r="Z102" s="97" t="e">
        <f t="shared" si="60"/>
        <v>#VALUE!</v>
      </c>
      <c r="AA102" s="96" t="e">
        <f>IF(M102&lt;=servi2,((AA101*K28*($E$12-$M102+1))/$M102),IF(servi2&lt;$M102,((AA101*K28*($E$12-$M102+1))/servi2),0))</f>
        <v>#VALUE!</v>
      </c>
      <c r="AB102" s="79">
        <f>IF($M102&lt;servi2,((K28)^$M102)*(FACT($E$12))/(FACT($M102)*FACT($E$12-$M102)),0)</f>
        <v>0</v>
      </c>
      <c r="AC102" s="79">
        <f t="shared" si="71"/>
        <v>0</v>
      </c>
      <c r="AD102" s="79" t="e">
        <f>IF(AND($M102&gt;=servi2,$M102&lt;=$E$12),(((K28^($M102))*FACT($E$12))/((FACT(servi2))*(FACT($E$12-$M102))*(servi2^($M102-servi2)))),0)</f>
        <v>#VALUE!</v>
      </c>
      <c r="AE102" s="97" t="e">
        <f t="shared" si="61"/>
        <v>#VALUE!</v>
      </c>
      <c r="AF102" s="96" t="e">
        <f>IF(M102&lt;=servi3,((AF101*K28*($E$12-$M102+1))/$M102),IF(servi3&lt;$M102,((AF101*K28*($E$12-$M102+1))/servi3),0))</f>
        <v>#VALUE!</v>
      </c>
      <c r="AG102" s="79">
        <f>IF($M102&lt;servi3,((K28)^$M102)*(FACT($E$12))/(FACT($M102)*FACT($E$12-$M102)),0)</f>
        <v>0</v>
      </c>
      <c r="AH102" s="79">
        <f t="shared" si="72"/>
        <v>0</v>
      </c>
      <c r="AI102" s="79" t="e">
        <f>IF(AND($M102&gt;=servi3,$M102&lt;=$E$12),(((K28^($M102))*FACT($E$12))/((FACT(servi3))*(FACT($E$12-$M102))*(servi3^($M102-servi3)))),0)</f>
        <v>#VALUE!</v>
      </c>
      <c r="AJ102" s="97" t="e">
        <f t="shared" si="62"/>
        <v>#VALUE!</v>
      </c>
      <c r="AK102" s="96" t="e">
        <f>IF(M102&lt;=servi4,((AK101*K28*($E$12-$M102+1))/$M102),IF(servi4&lt;$M102,((AK101*K28*($E$12-$M102+1))/servi4),0))</f>
        <v>#VALUE!</v>
      </c>
      <c r="AL102" s="79">
        <f>IF($M102&lt;servi4,((K28)^$M102)*(FACT($E$12))/(FACT($M102)*FACT($E$12-$M102)),0)</f>
        <v>0</v>
      </c>
      <c r="AM102" s="79">
        <f t="shared" si="73"/>
        <v>0</v>
      </c>
      <c r="AN102" s="79" t="e">
        <f t="shared" si="63"/>
        <v>#VALUE!</v>
      </c>
      <c r="AO102" s="97" t="e">
        <f t="shared" si="64"/>
        <v>#VALUE!</v>
      </c>
      <c r="AP102" s="96" t="e">
        <f>IF(M102&lt;=servi5,((AP101*K28*($E$12-$M102+1))/$M102),IF(servi5&lt;$M102,((AP101*K28*($E$12-$M102+1))/servi5),0))</f>
        <v>#VALUE!</v>
      </c>
      <c r="AQ102" s="79">
        <f>IF($M102&lt;servi5,((K28)^$M102)*(FACT($E$12))/(FACT($M102)*FACT($E$12-$M102)),0)</f>
        <v>0</v>
      </c>
      <c r="AR102" s="79">
        <f t="shared" si="74"/>
        <v>0</v>
      </c>
      <c r="AS102" s="79" t="e">
        <f t="shared" si="65"/>
        <v>#VALUE!</v>
      </c>
      <c r="AT102" s="97" t="e">
        <f t="shared" si="66"/>
        <v>#VALUE!</v>
      </c>
      <c r="AU102" s="96" t="e">
        <f>IF(M102&lt;=servi6,((AU101*K28*($E$12-$M102+1))/$M102),IF(servi6&lt;$M102,((AU101*K28*($E$12-$M102+1))/servi6),0))</f>
        <v>#VALUE!</v>
      </c>
      <c r="AV102" s="79">
        <f>IF($M102&lt;servi6,((K28)^$M102)*(FACT($E$12))/(FACT($M102)*FACT($E$12-$M102)),0)</f>
        <v>0</v>
      </c>
      <c r="AW102" s="79">
        <f t="shared" si="75"/>
        <v>0</v>
      </c>
      <c r="AX102" s="79" t="e">
        <f t="shared" si="67"/>
        <v>#VALUE!</v>
      </c>
      <c r="AY102" s="97" t="e">
        <f t="shared" si="68"/>
        <v>#VALUE!</v>
      </c>
    </row>
    <row r="103" spans="4:51" s="49" customFormat="1" ht="10.5" customHeight="1" x14ac:dyDescent="0.2">
      <c r="D103" s="82"/>
      <c r="J103" s="50"/>
      <c r="K103" s="51"/>
      <c r="M103" s="75">
        <v>95</v>
      </c>
      <c r="N103" s="78" t="str">
        <f>IF(E12&lt;&gt;"M",Q103,"")</f>
        <v/>
      </c>
      <c r="O103" s="78" t="e">
        <f t="shared" si="76"/>
        <v>#VALUE!</v>
      </c>
      <c r="Q103" s="96" t="e">
        <f>IF(M103&lt;=$E$8,((Q102*K28*($E$12-$M103+1))/$M103),IF($E$8&lt;$M103,((Q102*K28*($E$12-$M103+1))/$E$8),0))</f>
        <v>#VALUE!</v>
      </c>
      <c r="R103" s="79">
        <f>IF($M103&lt;$E$8,((K28)^$M103)*(FACT($E$12))/(FACT($M103)*FACT($E$12-$M103)),0)</f>
        <v>0</v>
      </c>
      <c r="S103" s="79">
        <f t="shared" si="69"/>
        <v>0</v>
      </c>
      <c r="T103" s="79" t="e">
        <f t="shared" si="77"/>
        <v>#VALUE!</v>
      </c>
      <c r="U103" s="97" t="e">
        <f t="shared" si="59"/>
        <v>#VALUE!</v>
      </c>
      <c r="V103" s="96" t="e">
        <f>IF(M103&lt;=servi1,((V102*K28*($E$12-$M103+1))/$M103),IF(servi1&lt;$M103,((V102*K28*($E$12-$M103+1))/servi1),0))</f>
        <v>#VALUE!</v>
      </c>
      <c r="W103" s="79">
        <f>IF($M103&lt;servi1,((K28)^$M103)*(FACT($E$12))/(FACT($M103)*FACT($E$12-$M103)),0)</f>
        <v>0</v>
      </c>
      <c r="X103" s="79">
        <f t="shared" si="70"/>
        <v>0</v>
      </c>
      <c r="Y103" s="79" t="e">
        <f>IF(AND($M103&gt;=servi1,$M103&lt;=$E$12),(((K28^($M103))*FACT($E$12))/((FACT(servi1))*(FACT($E$12-$M103))*(servi1^($M103-servi1)))),0)</f>
        <v>#VALUE!</v>
      </c>
      <c r="Z103" s="97" t="e">
        <f t="shared" si="60"/>
        <v>#VALUE!</v>
      </c>
      <c r="AA103" s="96" t="e">
        <f>IF(M103&lt;=servi2,((AA102*K28*($E$12-$M103+1))/$M103),IF(servi2&lt;$M103,((AA102*K28*($E$12-$M103+1))/servi2),0))</f>
        <v>#VALUE!</v>
      </c>
      <c r="AB103" s="79">
        <f>IF($M103&lt;servi2,((K28)^$M103)*(FACT($E$12))/(FACT($M103)*FACT($E$12-$M103)),0)</f>
        <v>0</v>
      </c>
      <c r="AC103" s="79">
        <f t="shared" si="71"/>
        <v>0</v>
      </c>
      <c r="AD103" s="79" t="e">
        <f>IF(AND($M103&gt;=servi2,$M103&lt;=$E$12),(((K28^($M103))*FACT($E$12))/((FACT(servi2))*(FACT($E$12-$M103))*(servi2^($M103-servi2)))),0)</f>
        <v>#VALUE!</v>
      </c>
      <c r="AE103" s="97" t="e">
        <f t="shared" si="61"/>
        <v>#VALUE!</v>
      </c>
      <c r="AF103" s="96" t="e">
        <f>IF(M103&lt;=servi3,((AF102*K28*($E$12-$M103+1))/$M103),IF(servi3&lt;$M103,((AF102*K28*($E$12-$M103+1))/servi3),0))</f>
        <v>#VALUE!</v>
      </c>
      <c r="AG103" s="79">
        <f>IF($M103&lt;servi3,((K28)^$M103)*(FACT($E$12))/(FACT($M103)*FACT($E$12-$M103)),0)</f>
        <v>0</v>
      </c>
      <c r="AH103" s="79">
        <f t="shared" si="72"/>
        <v>0</v>
      </c>
      <c r="AI103" s="79" t="e">
        <f>IF(AND($M103&gt;=servi3,$M103&lt;=$E$12),(((K28^($M103))*FACT($E$12))/((FACT(servi3))*(FACT($E$12-$M103))*(servi3^($M103-servi3)))),0)</f>
        <v>#VALUE!</v>
      </c>
      <c r="AJ103" s="97" t="e">
        <f t="shared" si="62"/>
        <v>#VALUE!</v>
      </c>
      <c r="AK103" s="96" t="e">
        <f>IF(M103&lt;=servi4,((AK102*K28*($E$12-$M103+1))/$M103),IF(servi4&lt;$M103,((AK102*K28*($E$12-$M103+1))/servi4),0))</f>
        <v>#VALUE!</v>
      </c>
      <c r="AL103" s="79">
        <f>IF($M103&lt;servi4,((K28)^$M103)*(FACT($E$12))/(FACT($M103)*FACT($E$12-$M103)),0)</f>
        <v>0</v>
      </c>
      <c r="AM103" s="79">
        <f t="shared" si="73"/>
        <v>0</v>
      </c>
      <c r="AN103" s="79" t="e">
        <f t="shared" si="63"/>
        <v>#VALUE!</v>
      </c>
      <c r="AO103" s="97" t="e">
        <f t="shared" si="64"/>
        <v>#VALUE!</v>
      </c>
      <c r="AP103" s="96" t="e">
        <f>IF(M103&lt;=servi5,((AP102*K28*($E$12-$M103+1))/$M103),IF(servi5&lt;$M103,((AP102*K28*($E$12-$M103+1))/servi5),0))</f>
        <v>#VALUE!</v>
      </c>
      <c r="AQ103" s="79">
        <f>IF($M103&lt;servi5,((K28)^$M103)*(FACT($E$12))/(FACT($M103)*FACT($E$12-$M103)),0)</f>
        <v>0</v>
      </c>
      <c r="AR103" s="79">
        <f t="shared" si="74"/>
        <v>0</v>
      </c>
      <c r="AS103" s="79" t="e">
        <f t="shared" si="65"/>
        <v>#VALUE!</v>
      </c>
      <c r="AT103" s="97" t="e">
        <f t="shared" si="66"/>
        <v>#VALUE!</v>
      </c>
      <c r="AU103" s="96" t="e">
        <f>IF(M103&lt;=servi6,((AU102*K28*($E$12-$M103+1))/$M103),IF(servi6&lt;$M103,((AU102*K28*($E$12-$M103+1))/servi6),0))</f>
        <v>#VALUE!</v>
      </c>
      <c r="AV103" s="79">
        <f>IF($M103&lt;servi6,((K28)^$M103)*(FACT($E$12))/(FACT($M103)*FACT($E$12-$M103)),0)</f>
        <v>0</v>
      </c>
      <c r="AW103" s="79">
        <f t="shared" si="75"/>
        <v>0</v>
      </c>
      <c r="AX103" s="79" t="e">
        <f t="shared" si="67"/>
        <v>#VALUE!</v>
      </c>
      <c r="AY103" s="97" t="e">
        <f t="shared" si="68"/>
        <v>#VALUE!</v>
      </c>
    </row>
    <row r="104" spans="4:51" s="49" customFormat="1" ht="10.5" customHeight="1" x14ac:dyDescent="0.2">
      <c r="D104" s="82"/>
      <c r="J104" s="50"/>
      <c r="K104" s="51"/>
      <c r="M104" s="75">
        <v>96</v>
      </c>
      <c r="N104" s="78" t="str">
        <f>IF(E12&lt;&gt;"M",Q104,"")</f>
        <v/>
      </c>
      <c r="O104" s="78" t="e">
        <f t="shared" si="76"/>
        <v>#VALUE!</v>
      </c>
      <c r="Q104" s="96" t="e">
        <f>IF(M104&lt;=$E$8,((Q103*K28*($E$12-$M104+1))/$M104),IF($E$8&lt;$M104,((Q103*K28*($E$12-$M104+1))/$E$8),0))</f>
        <v>#VALUE!</v>
      </c>
      <c r="R104" s="79">
        <f>IF($M104&lt;$E$8,((K28)^$M104)*(FACT($E$12))/(FACT($M104)*FACT($E$12-$M104)),0)</f>
        <v>0</v>
      </c>
      <c r="S104" s="79">
        <f t="shared" si="69"/>
        <v>0</v>
      </c>
      <c r="T104" s="79" t="e">
        <f t="shared" si="77"/>
        <v>#VALUE!</v>
      </c>
      <c r="U104" s="97" t="e">
        <f t="shared" si="59"/>
        <v>#VALUE!</v>
      </c>
      <c r="V104" s="96" t="e">
        <f>IF(M104&lt;=servi1,((V103*K28*($E$12-$M104+1))/$M104),IF(servi1&lt;$M104,((V103*K28*($E$12-$M104+1))/servi1),0))</f>
        <v>#VALUE!</v>
      </c>
      <c r="W104" s="79">
        <f>IF($M104&lt;servi1,((K28)^$M104)*(FACT($E$12))/(FACT($M104)*FACT($E$12-$M104)),0)</f>
        <v>0</v>
      </c>
      <c r="X104" s="79">
        <f t="shared" si="70"/>
        <v>0</v>
      </c>
      <c r="Y104" s="79" t="e">
        <f>IF(AND($M104&gt;=servi1,$M104&lt;=$E$12),(((K28^($M104))*FACT($E$12))/((FACT(servi1))*(FACT($E$12-$M104))*(servi1^($M104-servi1)))),0)</f>
        <v>#VALUE!</v>
      </c>
      <c r="Z104" s="97" t="e">
        <f t="shared" si="60"/>
        <v>#VALUE!</v>
      </c>
      <c r="AA104" s="96" t="e">
        <f>IF(M104&lt;=servi2,((AA103*K28*($E$12-$M104+1))/$M104),IF(servi2&lt;$M104,((AA103*K28*($E$12-$M104+1))/servi2),0))</f>
        <v>#VALUE!</v>
      </c>
      <c r="AB104" s="79">
        <f>IF($M104&lt;servi2,((K28)^$M104)*(FACT($E$12))/(FACT($M104)*FACT($E$12-$M104)),0)</f>
        <v>0</v>
      </c>
      <c r="AC104" s="79">
        <f t="shared" si="71"/>
        <v>0</v>
      </c>
      <c r="AD104" s="79" t="e">
        <f>IF(AND($M104&gt;=servi2,$M104&lt;=$E$12),(((K28^($M104))*FACT($E$12))/((FACT(servi2))*(FACT($E$12-$M104))*(servi2^($M104-servi2)))),0)</f>
        <v>#VALUE!</v>
      </c>
      <c r="AE104" s="97" t="e">
        <f t="shared" si="61"/>
        <v>#VALUE!</v>
      </c>
      <c r="AF104" s="96" t="e">
        <f>IF(M104&lt;=servi3,((AF103*K28*($E$12-$M104+1))/$M104),IF(servi3&lt;$M104,((AF103*K28*($E$12-$M104+1))/servi3),0))</f>
        <v>#VALUE!</v>
      </c>
      <c r="AG104" s="79">
        <f>IF($M104&lt;servi3,((K28)^$M104)*(FACT($E$12))/(FACT($M104)*FACT($E$12-$M104)),0)</f>
        <v>0</v>
      </c>
      <c r="AH104" s="79">
        <f t="shared" si="72"/>
        <v>0</v>
      </c>
      <c r="AI104" s="79" t="e">
        <f>IF(AND($M104&gt;=servi3,$M104&lt;=$E$12),(((K28^($M104))*FACT($E$12))/((FACT(servi3))*(FACT($E$12-$M104))*(servi3^($M104-servi3)))),0)</f>
        <v>#VALUE!</v>
      </c>
      <c r="AJ104" s="97" t="e">
        <f t="shared" si="62"/>
        <v>#VALUE!</v>
      </c>
      <c r="AK104" s="96" t="e">
        <f>IF(M104&lt;=servi4,((AK103*K28*($E$12-$M104+1))/$M104),IF(servi4&lt;$M104,((AK103*K28*($E$12-$M104+1))/servi4),0))</f>
        <v>#VALUE!</v>
      </c>
      <c r="AL104" s="79">
        <f>IF($M104&lt;servi4,((K28)^$M104)*(FACT($E$12))/(FACT($M104)*FACT($E$12-$M104)),0)</f>
        <v>0</v>
      </c>
      <c r="AM104" s="79">
        <f t="shared" si="73"/>
        <v>0</v>
      </c>
      <c r="AN104" s="79" t="e">
        <f t="shared" si="63"/>
        <v>#VALUE!</v>
      </c>
      <c r="AO104" s="97" t="e">
        <f t="shared" si="64"/>
        <v>#VALUE!</v>
      </c>
      <c r="AP104" s="96" t="e">
        <f>IF(M104&lt;=servi5,((AP103*K28*($E$12-$M104+1))/$M104),IF(servi5&lt;$M104,((AP103*K28*($E$12-$M104+1))/servi5),0))</f>
        <v>#VALUE!</v>
      </c>
      <c r="AQ104" s="79">
        <f>IF($M104&lt;servi5,((K28)^$M104)*(FACT($E$12))/(FACT($M104)*FACT($E$12-$M104)),0)</f>
        <v>0</v>
      </c>
      <c r="AR104" s="79">
        <f t="shared" si="74"/>
        <v>0</v>
      </c>
      <c r="AS104" s="79" t="e">
        <f t="shared" si="65"/>
        <v>#VALUE!</v>
      </c>
      <c r="AT104" s="97" t="e">
        <f t="shared" si="66"/>
        <v>#VALUE!</v>
      </c>
      <c r="AU104" s="96" t="e">
        <f>IF(M104&lt;=servi6,((AU103*K28*($E$12-$M104+1))/$M104),IF(servi6&lt;$M104,((AU103*K28*($E$12-$M104+1))/servi6),0))</f>
        <v>#VALUE!</v>
      </c>
      <c r="AV104" s="79">
        <f>IF($M104&lt;servi6,((K28)^$M104)*(FACT($E$12))/(FACT($M104)*FACT($E$12-$M104)),0)</f>
        <v>0</v>
      </c>
      <c r="AW104" s="79">
        <f t="shared" si="75"/>
        <v>0</v>
      </c>
      <c r="AX104" s="79" t="e">
        <f t="shared" si="67"/>
        <v>#VALUE!</v>
      </c>
      <c r="AY104" s="97" t="e">
        <f t="shared" si="68"/>
        <v>#VALUE!</v>
      </c>
    </row>
    <row r="105" spans="4:51" s="49" customFormat="1" ht="10.5" customHeight="1" x14ac:dyDescent="0.2">
      <c r="D105" s="82"/>
      <c r="J105" s="50"/>
      <c r="K105" s="51"/>
      <c r="M105" s="75">
        <v>97</v>
      </c>
      <c r="N105" s="78" t="str">
        <f>IF(E12&lt;&gt;"M",Q105,"")</f>
        <v/>
      </c>
      <c r="O105" s="78" t="e">
        <f t="shared" si="76"/>
        <v>#VALUE!</v>
      </c>
      <c r="Q105" s="96" t="e">
        <f>IF(M105&lt;=$E$8,((Q104*K28*($E$12-$M105+1))/$M105),IF($E$8&lt;$M105,((Q104*K28*($E$12-$M105+1))/$E$8),0))</f>
        <v>#VALUE!</v>
      </c>
      <c r="R105" s="79">
        <f>IF($M105&lt;$E$8,((K28)^$M105)*(FACT($E$12))/(FACT($M105)*FACT($E$12-$M105)),0)</f>
        <v>0</v>
      </c>
      <c r="S105" s="79">
        <f t="shared" si="69"/>
        <v>0</v>
      </c>
      <c r="T105" s="79" t="e">
        <f t="shared" si="77"/>
        <v>#VALUE!</v>
      </c>
      <c r="U105" s="97" t="e">
        <f t="shared" si="59"/>
        <v>#VALUE!</v>
      </c>
      <c r="V105" s="96" t="e">
        <f>IF(M105&lt;=servi1,((V104*K28*($E$12-$M105+1))/$M105),IF(servi1&lt;$M105,((V104*K28*($E$12-$M105+1))/servi1),0))</f>
        <v>#VALUE!</v>
      </c>
      <c r="W105" s="79">
        <f>IF($M105&lt;servi1,((K28)^$M105)*(FACT($E$12))/(FACT($M105)*FACT($E$12-$M105)),0)</f>
        <v>0</v>
      </c>
      <c r="X105" s="79">
        <f t="shared" si="70"/>
        <v>0</v>
      </c>
      <c r="Y105" s="79" t="e">
        <f>IF(AND($M105&gt;=servi1,$M105&lt;=$E$12),(((K28^($M105))*FACT($E$12))/((FACT(servi1))*(FACT($E$12-$M105))*(servi1^($M105-servi1)))),0)</f>
        <v>#VALUE!</v>
      </c>
      <c r="Z105" s="97" t="e">
        <f t="shared" si="60"/>
        <v>#VALUE!</v>
      </c>
      <c r="AA105" s="96" t="e">
        <f>IF(M105&lt;=servi2,((AA104*K28*($E$12-$M105+1))/$M105),IF(servi2&lt;$M105,((AA104*K28*($E$12-$M105+1))/servi2),0))</f>
        <v>#VALUE!</v>
      </c>
      <c r="AB105" s="79">
        <f>IF($M105&lt;servi2,((K28)^$M105)*(FACT($E$12))/(FACT($M105)*FACT($E$12-$M105)),0)</f>
        <v>0</v>
      </c>
      <c r="AC105" s="79">
        <f t="shared" si="71"/>
        <v>0</v>
      </c>
      <c r="AD105" s="79" t="e">
        <f>IF(AND($M105&gt;=servi2,$M105&lt;=$E$12),(((K28^($M105))*FACT($E$12))/((FACT(servi2))*(FACT($E$12-$M105))*(servi2^($M105-servi2)))),0)</f>
        <v>#VALUE!</v>
      </c>
      <c r="AE105" s="97" t="e">
        <f t="shared" si="61"/>
        <v>#VALUE!</v>
      </c>
      <c r="AF105" s="96" t="e">
        <f>IF(M105&lt;=servi3,((AF104*K28*($E$12-$M105+1))/$M105),IF(servi3&lt;$M105,((AF104*K28*($E$12-$M105+1))/servi3),0))</f>
        <v>#VALUE!</v>
      </c>
      <c r="AG105" s="79">
        <f>IF($M105&lt;servi3,((K28)^$M105)*(FACT($E$12))/(FACT($M105)*FACT($E$12-$M105)),0)</f>
        <v>0</v>
      </c>
      <c r="AH105" s="79">
        <f t="shared" si="72"/>
        <v>0</v>
      </c>
      <c r="AI105" s="79" t="e">
        <f>IF(AND($M105&gt;=servi3,$M105&lt;=$E$12),(((K28^($M105))*FACT($E$12))/((FACT(servi3))*(FACT($E$12-$M105))*(servi3^($M105-servi3)))),0)</f>
        <v>#VALUE!</v>
      </c>
      <c r="AJ105" s="97" t="e">
        <f t="shared" si="62"/>
        <v>#VALUE!</v>
      </c>
      <c r="AK105" s="96" t="e">
        <f>IF(M105&lt;=servi4,((AK104*K28*($E$12-$M105+1))/$M105),IF(servi4&lt;$M105,((AK104*K28*($E$12-$M105+1))/servi4),0))</f>
        <v>#VALUE!</v>
      </c>
      <c r="AL105" s="79">
        <f>IF($M105&lt;servi4,((K28)^$M105)*(FACT($E$12))/(FACT($M105)*FACT($E$12-$M105)),0)</f>
        <v>0</v>
      </c>
      <c r="AM105" s="79">
        <f t="shared" si="73"/>
        <v>0</v>
      </c>
      <c r="AN105" s="79" t="e">
        <f t="shared" si="63"/>
        <v>#VALUE!</v>
      </c>
      <c r="AO105" s="97" t="e">
        <f t="shared" si="64"/>
        <v>#VALUE!</v>
      </c>
      <c r="AP105" s="96" t="e">
        <f>IF(M105&lt;=servi5,((AP104*K28*($E$12-$M105+1))/$M105),IF(servi5&lt;$M105,((AP104*K28*($E$12-$M105+1))/servi5),0))</f>
        <v>#VALUE!</v>
      </c>
      <c r="AQ105" s="79">
        <f>IF($M105&lt;servi5,((K28)^$M105)*(FACT($E$12))/(FACT($M105)*FACT($E$12-$M105)),0)</f>
        <v>0</v>
      </c>
      <c r="AR105" s="79">
        <f t="shared" si="74"/>
        <v>0</v>
      </c>
      <c r="AS105" s="79" t="e">
        <f t="shared" si="65"/>
        <v>#VALUE!</v>
      </c>
      <c r="AT105" s="97" t="e">
        <f t="shared" si="66"/>
        <v>#VALUE!</v>
      </c>
      <c r="AU105" s="96" t="e">
        <f>IF(M105&lt;=servi6,((AU104*K28*($E$12-$M105+1))/$M105),IF(servi6&lt;$M105,((AU104*K28*($E$12-$M105+1))/servi6),0))</f>
        <v>#VALUE!</v>
      </c>
      <c r="AV105" s="79">
        <f>IF($M105&lt;servi6,((K28)^$M105)*(FACT($E$12))/(FACT($M105)*FACT($E$12-$M105)),0)</f>
        <v>0</v>
      </c>
      <c r="AW105" s="79">
        <f t="shared" si="75"/>
        <v>0</v>
      </c>
      <c r="AX105" s="79" t="e">
        <f t="shared" si="67"/>
        <v>#VALUE!</v>
      </c>
      <c r="AY105" s="97" t="e">
        <f t="shared" si="68"/>
        <v>#VALUE!</v>
      </c>
    </row>
    <row r="106" spans="4:51" s="49" customFormat="1" ht="10.5" customHeight="1" x14ac:dyDescent="0.2">
      <c r="D106" s="82"/>
      <c r="J106" s="50"/>
      <c r="K106" s="51"/>
      <c r="M106" s="75">
        <v>98</v>
      </c>
      <c r="N106" s="78" t="str">
        <f>IF(E12&lt;&gt;"M",Q106,"")</f>
        <v/>
      </c>
      <c r="O106" s="78" t="e">
        <f t="shared" si="76"/>
        <v>#VALUE!</v>
      </c>
      <c r="Q106" s="96" t="e">
        <f>IF(M106&lt;=$E$8,((Q105*K28*($E$12-$M106+1))/$M106),IF($E$8&lt;$M106,((Q105*K28*($E$12-$M106+1))/$E$8),0))</f>
        <v>#VALUE!</v>
      </c>
      <c r="R106" s="79">
        <f>IF($M106&lt;$E$8,((K28)^$M106)*(FACT($E$12))/(FACT($M106)*FACT($E$12-$M106)),0)</f>
        <v>0</v>
      </c>
      <c r="S106" s="79">
        <f t="shared" si="69"/>
        <v>0</v>
      </c>
      <c r="T106" s="79" t="e">
        <f t="shared" si="77"/>
        <v>#VALUE!</v>
      </c>
      <c r="U106" s="97" t="e">
        <f t="shared" si="59"/>
        <v>#VALUE!</v>
      </c>
      <c r="V106" s="96" t="e">
        <f>IF(M106&lt;=servi1,((V105*K28*($E$12-$M106+1))/$M106),IF(servi1&lt;$M106,((V105*K28*($E$12-$M106+1))/servi1),0))</f>
        <v>#VALUE!</v>
      </c>
      <c r="W106" s="79">
        <f>IF($M106&lt;servi1,((K28)^$M106)*(FACT($E$12))/(FACT($M106)*FACT($E$12-$M106)),0)</f>
        <v>0</v>
      </c>
      <c r="X106" s="79">
        <f t="shared" si="70"/>
        <v>0</v>
      </c>
      <c r="Y106" s="79" t="e">
        <f>IF(AND($M106&gt;=servi1,$M106&lt;=$E$12),(((K28^($M106))*FACT($E$12))/((FACT(servi1))*(FACT($E$12-$M106))*(servi1^($M106-servi1)))),0)</f>
        <v>#VALUE!</v>
      </c>
      <c r="Z106" s="97" t="e">
        <f t="shared" si="60"/>
        <v>#VALUE!</v>
      </c>
      <c r="AA106" s="96" t="e">
        <f>IF(M106&lt;=servi2,((AA105*K28*($E$12-$M106+1))/$M106),IF(servi2&lt;$M106,((AA105*K28*($E$12-$M106+1))/servi2),0))</f>
        <v>#VALUE!</v>
      </c>
      <c r="AB106" s="79">
        <f>IF($M106&lt;servi2,((K28)^$M106)*(FACT($E$12))/(FACT($M106)*FACT($E$12-$M106)),0)</f>
        <v>0</v>
      </c>
      <c r="AC106" s="79">
        <f t="shared" si="71"/>
        <v>0</v>
      </c>
      <c r="AD106" s="79" t="e">
        <f>IF(AND($M106&gt;=servi2,$M106&lt;=$E$12),(((K28^($M106))*FACT($E$12))/((FACT(servi2))*(FACT($E$12-$M106))*(servi2^($M106-servi2)))),0)</f>
        <v>#VALUE!</v>
      </c>
      <c r="AE106" s="97" t="e">
        <f t="shared" si="61"/>
        <v>#VALUE!</v>
      </c>
      <c r="AF106" s="96" t="e">
        <f>IF(M106&lt;=servi3,((AF105*K28*($E$12-$M106+1))/$M106),IF(servi3&lt;$M106,((AF105*K28*($E$12-$M106+1))/servi3),0))</f>
        <v>#VALUE!</v>
      </c>
      <c r="AG106" s="79">
        <f>IF($M106&lt;servi3,((K28)^$M106)*(FACT($E$12))/(FACT($M106)*FACT($E$12-$M106)),0)</f>
        <v>0</v>
      </c>
      <c r="AH106" s="79">
        <f t="shared" si="72"/>
        <v>0</v>
      </c>
      <c r="AI106" s="79" t="e">
        <f>IF(AND($M106&gt;=servi3,$M106&lt;=$E$12),(((K28^($M106))*FACT($E$12))/((FACT(servi3))*(FACT($E$12-$M106))*(servi3^($M106-servi3)))),0)</f>
        <v>#VALUE!</v>
      </c>
      <c r="AJ106" s="97" t="e">
        <f t="shared" si="62"/>
        <v>#VALUE!</v>
      </c>
      <c r="AK106" s="96" t="e">
        <f>IF(M106&lt;=servi4,((AK105*K28*($E$12-$M106+1))/$M106),IF(servi4&lt;$M106,((AK105*K28*($E$12-$M106+1))/servi4),0))</f>
        <v>#VALUE!</v>
      </c>
      <c r="AL106" s="79">
        <f>IF($M106&lt;servi4,((K28)^$M106)*(FACT($E$12))/(FACT($M106)*FACT($E$12-$M106)),0)</f>
        <v>0</v>
      </c>
      <c r="AM106" s="79">
        <f t="shared" si="73"/>
        <v>0</v>
      </c>
      <c r="AN106" s="79" t="e">
        <f t="shared" si="63"/>
        <v>#VALUE!</v>
      </c>
      <c r="AO106" s="97" t="e">
        <f t="shared" si="64"/>
        <v>#VALUE!</v>
      </c>
      <c r="AP106" s="96" t="e">
        <f>IF(M106&lt;=servi5,((AP105*K28*($E$12-$M106+1))/$M106),IF(servi5&lt;$M106,((AP105*K28*($E$12-$M106+1))/servi5),0))</f>
        <v>#VALUE!</v>
      </c>
      <c r="AQ106" s="79">
        <f>IF($M106&lt;servi5,((K28)^$M106)*(FACT($E$12))/(FACT($M106)*FACT($E$12-$M106)),0)</f>
        <v>0</v>
      </c>
      <c r="AR106" s="79">
        <f t="shared" si="74"/>
        <v>0</v>
      </c>
      <c r="AS106" s="79" t="e">
        <f t="shared" si="65"/>
        <v>#VALUE!</v>
      </c>
      <c r="AT106" s="97" t="e">
        <f t="shared" si="66"/>
        <v>#VALUE!</v>
      </c>
      <c r="AU106" s="96" t="e">
        <f>IF(M106&lt;=servi6,((AU105*K28*($E$12-$M106+1))/$M106),IF(servi6&lt;$M106,((AU105*K28*($E$12-$M106+1))/servi6),0))</f>
        <v>#VALUE!</v>
      </c>
      <c r="AV106" s="79">
        <f>IF($M106&lt;servi6,((K28)^$M106)*(FACT($E$12))/(FACT($M106)*FACT($E$12-$M106)),0)</f>
        <v>0</v>
      </c>
      <c r="AW106" s="79">
        <f t="shared" si="75"/>
        <v>0</v>
      </c>
      <c r="AX106" s="79" t="e">
        <f t="shared" si="67"/>
        <v>#VALUE!</v>
      </c>
      <c r="AY106" s="97" t="e">
        <f t="shared" si="68"/>
        <v>#VALUE!</v>
      </c>
    </row>
    <row r="107" spans="4:51" s="49" customFormat="1" ht="10.5" customHeight="1" x14ac:dyDescent="0.2">
      <c r="D107" s="82"/>
      <c r="J107" s="50"/>
      <c r="K107" s="51"/>
      <c r="M107" s="75">
        <v>99</v>
      </c>
      <c r="N107" s="78" t="str">
        <f>IF(E12&lt;&gt;"M",Q107,"")</f>
        <v/>
      </c>
      <c r="O107" s="78" t="e">
        <f t="shared" si="76"/>
        <v>#VALUE!</v>
      </c>
      <c r="Q107" s="96" t="e">
        <f>IF(M107&lt;=$E$8,((Q106*K28*($E$12-$M107+1))/$M107),IF($E$8&lt;$M107,((Q106*K28*($E$12-$M107+1))/$E$8),0))</f>
        <v>#VALUE!</v>
      </c>
      <c r="R107" s="79">
        <f>IF($M107&lt;$E$8,((K28)^$M107)*(FACT($E$12))/(FACT($M107)*FACT($E$12-$M107)),0)</f>
        <v>0</v>
      </c>
      <c r="S107" s="79">
        <f t="shared" si="69"/>
        <v>0</v>
      </c>
      <c r="T107" s="79" t="e">
        <f t="shared" si="77"/>
        <v>#VALUE!</v>
      </c>
      <c r="U107" s="97" t="e">
        <f t="shared" si="59"/>
        <v>#VALUE!</v>
      </c>
      <c r="V107" s="96" t="e">
        <f>IF(M107&lt;=servi1,((V106*K28*($E$12-$M107+1))/$M107),IF(servi1&lt;$M107,((V106*K28*($E$12-$M107+1))/servi1),0))</f>
        <v>#VALUE!</v>
      </c>
      <c r="W107" s="79">
        <f>IF($M107&lt;servi1,((K28)^$M107)*(FACT($E$12))/(FACT($M107)*FACT($E$12-$M107)),0)</f>
        <v>0</v>
      </c>
      <c r="X107" s="79">
        <f t="shared" si="70"/>
        <v>0</v>
      </c>
      <c r="Y107" s="79" t="e">
        <f>IF(AND($M107&gt;=servi1,$M107&lt;=$E$12),(((K28^($M107))*FACT($E$12))/((FACT(servi1))*(FACT($E$12-$M107))*(servi1^($M107-servi1)))),0)</f>
        <v>#VALUE!</v>
      </c>
      <c r="Z107" s="97" t="e">
        <f t="shared" si="60"/>
        <v>#VALUE!</v>
      </c>
      <c r="AA107" s="96" t="e">
        <f>IF(M107&lt;=servi2,((AA106*K28*($E$12-$M107+1))/$M107),IF(servi2&lt;$M107,((AA106*K28*($E$12-$M107+1))/servi2),0))</f>
        <v>#VALUE!</v>
      </c>
      <c r="AB107" s="79">
        <f>IF($M107&lt;servi2,((K28)^$M107)*(FACT($E$12))/(FACT($M107)*FACT($E$12-$M107)),0)</f>
        <v>0</v>
      </c>
      <c r="AC107" s="79">
        <f t="shared" si="71"/>
        <v>0</v>
      </c>
      <c r="AD107" s="79" t="e">
        <f>IF(AND($M107&gt;=servi2,$M107&lt;=$E$12),(((K28^($M107))*FACT($E$12))/((FACT(servi2))*(FACT($E$12-$M107))*(servi2^($M107-servi2)))),0)</f>
        <v>#VALUE!</v>
      </c>
      <c r="AE107" s="97" t="e">
        <f t="shared" si="61"/>
        <v>#VALUE!</v>
      </c>
      <c r="AF107" s="96" t="e">
        <f>IF(M107&lt;=servi3,((AF106*K28*($E$12-$M107+1))/$M107),IF(servi3&lt;$M107,((AF106*K28*($E$12-$M107+1))/servi3),0))</f>
        <v>#VALUE!</v>
      </c>
      <c r="AG107" s="79">
        <f>IF($M107&lt;servi3,((K28)^$M107)*(FACT($E$12))/(FACT($M107)*FACT($E$12-$M107)),0)</f>
        <v>0</v>
      </c>
      <c r="AH107" s="79">
        <f t="shared" si="72"/>
        <v>0</v>
      </c>
      <c r="AI107" s="79" t="e">
        <f>IF(AND($M107&gt;=servi3,$M107&lt;=$E$12),(((K28^($M107))*FACT($E$12))/((FACT(servi3))*(FACT($E$12-$M107))*(servi3^($M107-servi3)))),0)</f>
        <v>#VALUE!</v>
      </c>
      <c r="AJ107" s="97" t="e">
        <f t="shared" si="62"/>
        <v>#VALUE!</v>
      </c>
      <c r="AK107" s="96" t="e">
        <f>IF(M107&lt;=servi4,((AK106*K28*($E$12-$M107+1))/$M107),IF(servi4&lt;$M107,((AK106*K28*($E$12-$M107+1))/servi4),0))</f>
        <v>#VALUE!</v>
      </c>
      <c r="AL107" s="79">
        <f>IF($M107&lt;servi4,((K28)^$M107)*(FACT($E$12))/(FACT($M107)*FACT($E$12-$M107)),0)</f>
        <v>0</v>
      </c>
      <c r="AM107" s="79">
        <f t="shared" si="73"/>
        <v>0</v>
      </c>
      <c r="AN107" s="79" t="e">
        <f t="shared" si="63"/>
        <v>#VALUE!</v>
      </c>
      <c r="AO107" s="97" t="e">
        <f t="shared" si="64"/>
        <v>#VALUE!</v>
      </c>
      <c r="AP107" s="96" t="e">
        <f>IF(M107&lt;=servi5,((AP106*K28*($E$12-$M107+1))/$M107),IF(servi5&lt;$M107,((AP106*K28*($E$12-$M107+1))/servi5),0))</f>
        <v>#VALUE!</v>
      </c>
      <c r="AQ107" s="79">
        <f>IF($M107&lt;servi5,((K28)^$M107)*(FACT($E$12))/(FACT($M107)*FACT($E$12-$M107)),0)</f>
        <v>0</v>
      </c>
      <c r="AR107" s="79">
        <f t="shared" si="74"/>
        <v>0</v>
      </c>
      <c r="AS107" s="79" t="e">
        <f t="shared" si="65"/>
        <v>#VALUE!</v>
      </c>
      <c r="AT107" s="97" t="e">
        <f t="shared" si="66"/>
        <v>#VALUE!</v>
      </c>
      <c r="AU107" s="96" t="e">
        <f>IF(M107&lt;=servi6,((AU106*K28*($E$12-$M107+1))/$M107),IF(servi6&lt;$M107,((AU106*K28*($E$12-$M107+1))/servi6),0))</f>
        <v>#VALUE!</v>
      </c>
      <c r="AV107" s="79">
        <f>IF($M107&lt;servi6,((K28)^$M107)*(FACT($E$12))/(FACT($M107)*FACT($E$12-$M107)),0)</f>
        <v>0</v>
      </c>
      <c r="AW107" s="79">
        <f t="shared" si="75"/>
        <v>0</v>
      </c>
      <c r="AX107" s="79" t="e">
        <f t="shared" si="67"/>
        <v>#VALUE!</v>
      </c>
      <c r="AY107" s="97" t="e">
        <f t="shared" si="68"/>
        <v>#VALUE!</v>
      </c>
    </row>
    <row r="108" spans="4:51" s="49" customFormat="1" ht="10.5" customHeight="1" thickBot="1" x14ac:dyDescent="0.25">
      <c r="D108" s="82"/>
      <c r="J108" s="50"/>
      <c r="K108" s="51"/>
      <c r="M108" s="75">
        <v>100</v>
      </c>
      <c r="N108" s="78" t="str">
        <f>IF(E12&lt;&gt;"M",Q108,"")</f>
        <v/>
      </c>
      <c r="O108" s="78" t="e">
        <f t="shared" si="76"/>
        <v>#VALUE!</v>
      </c>
      <c r="Q108" s="107" t="e">
        <f>IF(M108&lt;=$E$8,((Q107*K28*($E$12-$M108+1))/$M108),IF($E$8&lt;$M108,((Q107*K28*($E$12-$M108+1))/$E$8),0))</f>
        <v>#VALUE!</v>
      </c>
      <c r="R108" s="108">
        <f>IF($M108&lt;$E$8,((K28)^$M108)*(FACT($E$12))/(FACT($M108)*FACT($E$12-$M108)),0)</f>
        <v>0</v>
      </c>
      <c r="S108" s="79">
        <f t="shared" si="69"/>
        <v>0</v>
      </c>
      <c r="T108" s="79" t="e">
        <f t="shared" si="77"/>
        <v>#VALUE!</v>
      </c>
      <c r="U108" s="109" t="e">
        <f t="shared" si="59"/>
        <v>#VALUE!</v>
      </c>
      <c r="V108" s="96" t="e">
        <f>IF(M108&lt;=servi1,((V107*K28*($E$12-$M108+1))/$M108),IF(servi1&lt;$M108,((V107*K28*($E$12-$M108+1))/servi1),0))</f>
        <v>#VALUE!</v>
      </c>
      <c r="W108" s="108">
        <f>IF($M108&lt;servi1,((K28)^$M108)*(FACT($E$12))/(FACT($M108)*FACT($E$12-$M108)),0)</f>
        <v>0</v>
      </c>
      <c r="X108" s="108">
        <f t="shared" si="70"/>
        <v>0</v>
      </c>
      <c r="Y108" s="108" t="e">
        <f>IF(AND($M108&gt;=servi1,$M108&lt;=$E$12),(((K28^($M108))*FACT($E$12))/((FACT(servi1))*(FACT($E$12-$M108))*(servi1^($M108-servi1)))),0)</f>
        <v>#VALUE!</v>
      </c>
      <c r="Z108" s="109" t="e">
        <f t="shared" si="60"/>
        <v>#VALUE!</v>
      </c>
      <c r="AA108" s="96" t="e">
        <f>IF(M108&lt;=servi2,((AA107*K28*($E$12-$M108+1))/$M108),IF(servi2&lt;$M108,((AA107*K28*($E$12-$M108+1))/servi2),0))</f>
        <v>#VALUE!</v>
      </c>
      <c r="AB108" s="108">
        <f>IF($M108&lt;servi2,((K28)^$M108)*(FACT($E$12))/(FACT($M108)*FACT($E$12-$M108)),0)</f>
        <v>0</v>
      </c>
      <c r="AC108" s="108">
        <f t="shared" si="71"/>
        <v>0</v>
      </c>
      <c r="AD108" s="108" t="e">
        <f>IF(AND($M108&gt;=servi2,$M108&lt;=$E$12),(((K28^($M108))*FACT($E$12))/((FACT(servi2))*(FACT($E$12-$M108))*(servi2^($M108-servi2)))),0)</f>
        <v>#VALUE!</v>
      </c>
      <c r="AE108" s="109" t="e">
        <f t="shared" si="61"/>
        <v>#VALUE!</v>
      </c>
      <c r="AF108" s="96" t="e">
        <f>IF(M108&lt;=servi3,((AF107*K28*($E$12-$M108+1))/$M108),IF(servi3&lt;$M108,((AF107*K28*($E$12-$M108+1))/servi3),0))</f>
        <v>#VALUE!</v>
      </c>
      <c r="AG108" s="108">
        <f>IF($M108&lt;servi3,((K28)^$M108)*(FACT($E$12))/(FACT($M108)*FACT($E$12-$M108)),0)</f>
        <v>0</v>
      </c>
      <c r="AH108" s="108">
        <f t="shared" si="72"/>
        <v>0</v>
      </c>
      <c r="AI108" s="108" t="e">
        <f>IF(AND($M108&gt;=servi3,$M108&lt;=$E$12),(((K28^($M108))*FACT($E$12))/((FACT(servi3))*(FACT($E$12-$M108))*(servi3^($M108-servi3)))),0)</f>
        <v>#VALUE!</v>
      </c>
      <c r="AJ108" s="109" t="e">
        <f t="shared" si="62"/>
        <v>#VALUE!</v>
      </c>
      <c r="AK108" s="96" t="e">
        <f>IF(M108&lt;=servi4,((AK107*K28*($E$12-$M108+1))/$M108),IF(servi4&lt;$M108,((AK107*K28*($E$12-$M108+1))/servi4),0))</f>
        <v>#VALUE!</v>
      </c>
      <c r="AL108" s="108">
        <f>IF($M108&lt;servi4,((K28)^$M108)*(FACT($E$12))/(FACT($M108)*FACT($E$12-$M108)),0)</f>
        <v>0</v>
      </c>
      <c r="AM108" s="108">
        <f t="shared" si="73"/>
        <v>0</v>
      </c>
      <c r="AN108" s="108" t="e">
        <f t="shared" si="63"/>
        <v>#VALUE!</v>
      </c>
      <c r="AO108" s="109" t="e">
        <f t="shared" si="64"/>
        <v>#VALUE!</v>
      </c>
      <c r="AP108" s="96" t="e">
        <f>IF(M108&lt;=servi5,((AP107*K28*($E$12-$M108+1))/$M108),IF(servi5&lt;$M108,((AP107*K28*($E$12-$M108+1))/servi5),0))</f>
        <v>#VALUE!</v>
      </c>
      <c r="AQ108" s="108">
        <f>IF($M108&lt;servi5,((K28)^$M108)*(FACT($E$12))/(FACT($M108)*FACT($E$12-$M108)),0)</f>
        <v>0</v>
      </c>
      <c r="AR108" s="108">
        <f t="shared" si="74"/>
        <v>0</v>
      </c>
      <c r="AS108" s="108" t="e">
        <f t="shared" si="65"/>
        <v>#VALUE!</v>
      </c>
      <c r="AT108" s="109" t="e">
        <f t="shared" si="66"/>
        <v>#VALUE!</v>
      </c>
      <c r="AU108" s="96" t="e">
        <f>IF(M108&lt;=servi6,((AU107*K28*($E$12-$M108+1))/$M108),IF(servi6&lt;$M108,((AU107*K28*($E$12-$M108+1))/servi6),0))</f>
        <v>#VALUE!</v>
      </c>
      <c r="AV108" s="108">
        <f>IF($M108&lt;servi6,((K28)^$M108)*(FACT($E$12))/(FACT($M108)*FACT($E$12-$M108)),0)</f>
        <v>0</v>
      </c>
      <c r="AW108" s="108">
        <f t="shared" si="75"/>
        <v>0</v>
      </c>
      <c r="AX108" s="108" t="e">
        <f t="shared" si="67"/>
        <v>#VALUE!</v>
      </c>
      <c r="AY108" s="109" t="e">
        <f t="shared" si="68"/>
        <v>#VALUE!</v>
      </c>
    </row>
  </sheetData>
  <mergeCells count="16">
    <mergeCell ref="A1:O2"/>
    <mergeCell ref="J6:K6"/>
    <mergeCell ref="G8:I8"/>
    <mergeCell ref="G9:I9"/>
    <mergeCell ref="G11:I11"/>
    <mergeCell ref="M6:O6"/>
    <mergeCell ref="A5:E6"/>
    <mergeCell ref="G4:I4"/>
    <mergeCell ref="G13:I13"/>
    <mergeCell ref="A33:K33"/>
    <mergeCell ref="G15:I15"/>
    <mergeCell ref="G17:I17"/>
    <mergeCell ref="G18:I18"/>
    <mergeCell ref="G19:I19"/>
    <mergeCell ref="H20:J20"/>
    <mergeCell ref="G29:I29"/>
  </mergeCells>
  <conditionalFormatting sqref="A1:O2">
    <cfRule type="containsText" dxfId="7" priority="1" operator="containsText" text="Esta Hoja">
      <formula>NOT(ISERROR(SEARCH("Esta Hoja",A1)))</formula>
    </cfRule>
  </conditionalFormatting>
  <conditionalFormatting sqref="C35:C41">
    <cfRule type="top10" dxfId="6" priority="3" percent="1" bottom="1" rank="1"/>
  </conditionalFormatting>
  <conditionalFormatting sqref="L6">
    <cfRule type="cellIs" dxfId="5" priority="2" operator="equal">
      <formula>"no corresponde!"</formula>
    </cfRule>
  </conditionalFormatting>
  <dataValidations disablePrompts="1" count="1">
    <dataValidation type="list" allowBlank="1" showInputMessage="1" showErrorMessage="1" errorTitle="Unidad no válida" error="Seleccione la unidad de la lista desplegable" promptTitle="Seleccione" prompt="Unidad de tiempo" sqref="E4" xr:uid="{D2C1FA8E-BC42-4602-9F38-189981433EB3}">
      <formula1>$A$20:$A$26</formula1>
    </dataValidation>
  </dataValidations>
  <hyperlinks>
    <hyperlink ref="B3" location="MMc!A1" display="Ir a M/M/c" xr:uid="{E5D4A75F-F3FB-4A53-A924-3DF8FEC8BF09}"/>
    <hyperlink ref="A31" location="DATOS!A1" display="Volver a &quot;DATOS&quot;" xr:uid="{DD95CAF2-9CD9-444D-A5A6-51ED1304F2A4}"/>
    <hyperlink ref="A30" location="MMcK!A1" display="Arriba" xr:uid="{C2586265-F9FA-4646-9CE4-E40198B8C98D}"/>
    <hyperlink ref="A3" location="DATOS!A1" display="Ir a Hoja de DATOS" xr:uid="{ADD8D2FD-4444-4FA2-B107-64AF4C2E5FDC}"/>
    <hyperlink ref="G3" location="'MG1'!A1" display="ir a M/G/1" xr:uid="{73B7F861-2AD8-44A7-BDC6-A09C10C7E98E}"/>
    <hyperlink ref="D3" location="MMcL!A1" display="Ir a M/M/c/L" xr:uid="{2D43B06A-A3D7-4A89-8A2A-0096C39726F3}"/>
    <hyperlink ref="M3" location="Ayuda!A1" display="ayuda" xr:uid="{C90FD226-8452-4446-93CD-247E6F931D43}"/>
    <hyperlink ref="G4:I4" location="MMcK!A49" display="análisis de sensibilidad" xr:uid="{05217601-38D8-4609-9EFF-26EE48743224}"/>
    <hyperlink ref="O3" location="Ayuda!AT1" display="documentación" xr:uid="{244B0E91-642C-403A-BCFA-09724361B1AC}"/>
  </hyperlink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5662F-97EA-411A-80D4-AA842E41B050}">
  <sheetPr codeName="Hoja3">
    <tabColor theme="5" tint="-0.249977111117893"/>
  </sheetPr>
  <dimension ref="A1:AE108"/>
  <sheetViews>
    <sheetView showGridLines="0" workbookViewId="0">
      <selection activeCell="J6" sqref="J6:K6"/>
    </sheetView>
  </sheetViews>
  <sheetFormatPr baseColWidth="10" defaultRowHeight="15" x14ac:dyDescent="0.25"/>
  <cols>
    <col min="1" max="1" width="19.140625" customWidth="1"/>
    <col min="2" max="2" width="12.28515625" customWidth="1"/>
    <col min="3" max="3" width="9.85546875" customWidth="1"/>
    <col min="4" max="4" width="7.85546875" style="1" customWidth="1"/>
    <col min="6" max="6" width="3.7109375" customWidth="1"/>
    <col min="8" max="8" width="22.5703125" bestFit="1" customWidth="1"/>
    <col min="9" max="9" width="13.5703125" customWidth="1"/>
    <col min="10" max="10" width="9" style="3" customWidth="1"/>
    <col min="11" max="11" width="15.5703125" style="5" bestFit="1" customWidth="1"/>
    <col min="12" max="12" width="9.5703125" bestFit="1" customWidth="1"/>
    <col min="13" max="13" width="5.5703125" customWidth="1"/>
    <col min="14" max="14" width="11.42578125" style="6"/>
    <col min="16" max="16" width="12.5703125" bestFit="1" customWidth="1"/>
    <col min="17" max="17" width="11.85546875" style="6" hidden="1" customWidth="1"/>
    <col min="18" max="19" width="12" hidden="1" customWidth="1"/>
    <col min="20" max="21" width="10.7109375" hidden="1" customWidth="1"/>
    <col min="22" max="22" width="11.85546875" hidden="1" customWidth="1"/>
    <col min="23" max="23" width="0" hidden="1" customWidth="1"/>
    <col min="24" max="24" width="17.7109375" hidden="1" customWidth="1"/>
    <col min="25" max="25" width="16.7109375" hidden="1" customWidth="1"/>
    <col min="26" max="27" width="0" hidden="1" customWidth="1"/>
    <col min="28" max="28" width="8.5703125" hidden="1" customWidth="1"/>
    <col min="29" max="29" width="11.85546875" hidden="1" customWidth="1"/>
    <col min="30" max="31" width="0" hidden="1" customWidth="1"/>
  </cols>
  <sheetData>
    <row r="1" spans="1:31" x14ac:dyDescent="0.25">
      <c r="A1" s="414" t="str">
        <f>IF(L6="no corresponde!","Esta Hoja no corresponde al modelo ingresado","Hoja "&amp;L6&amp;" — ANALISIS DE COLAS - OPTIMIZA - VER. 20.1.1")</f>
        <v>Esta Hoja no corresponde al modelo ingresado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6"/>
      <c r="AA1" t="s">
        <v>80</v>
      </c>
      <c r="AC1" t="s">
        <v>84</v>
      </c>
    </row>
    <row r="2" spans="1:31" ht="15.75" thickBot="1" x14ac:dyDescent="0.3">
      <c r="A2" s="417"/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9"/>
      <c r="AA2" t="s">
        <v>83</v>
      </c>
    </row>
    <row r="3" spans="1:31" ht="14.25" customHeight="1" x14ac:dyDescent="0.4">
      <c r="A3" s="274" t="s">
        <v>124</v>
      </c>
      <c r="B3" s="275" t="s">
        <v>131</v>
      </c>
      <c r="C3" s="276" t="s">
        <v>67</v>
      </c>
      <c r="D3" s="277"/>
      <c r="E3" s="278" t="s">
        <v>132</v>
      </c>
      <c r="F3" s="279"/>
      <c r="G3" s="273"/>
      <c r="H3" s="273"/>
      <c r="I3" s="273"/>
      <c r="J3" s="280"/>
      <c r="K3" s="281"/>
      <c r="L3" s="279" t="s">
        <v>62</v>
      </c>
      <c r="M3" s="273"/>
      <c r="N3" s="317" t="s">
        <v>63</v>
      </c>
      <c r="O3" s="282"/>
      <c r="V3" s="402" t="s">
        <v>92</v>
      </c>
      <c r="W3" s="402"/>
      <c r="X3" s="402"/>
      <c r="Y3" s="402"/>
      <c r="Z3" s="402"/>
      <c r="AA3" s="401" t="s">
        <v>78</v>
      </c>
      <c r="AB3" s="401"/>
      <c r="AC3" s="401"/>
      <c r="AD3" s="401"/>
      <c r="AE3" s="401"/>
    </row>
    <row r="4" spans="1:31" ht="12" customHeight="1" thickBot="1" x14ac:dyDescent="0.3">
      <c r="A4" s="216" t="s">
        <v>8</v>
      </c>
      <c r="B4" s="217"/>
      <c r="C4" s="218"/>
      <c r="D4" s="219"/>
      <c r="E4" s="220" t="str">
        <f>DATOS!E5</f>
        <v>hora</v>
      </c>
      <c r="F4" s="41"/>
      <c r="G4" s="41"/>
      <c r="H4" s="41"/>
      <c r="I4" s="44"/>
      <c r="J4" s="110"/>
      <c r="K4" s="110"/>
      <c r="L4" s="41"/>
      <c r="M4" s="111"/>
      <c r="N4" s="41"/>
      <c r="O4" s="5"/>
      <c r="P4" s="6"/>
      <c r="Q4" s="5"/>
    </row>
    <row r="5" spans="1:31" ht="12" customHeight="1" thickBot="1" x14ac:dyDescent="0.3">
      <c r="A5" s="430" t="s">
        <v>118</v>
      </c>
      <c r="B5" s="431"/>
      <c r="C5" s="431"/>
      <c r="D5" s="431"/>
      <c r="E5" s="432"/>
      <c r="F5" s="41"/>
      <c r="G5" s="112"/>
      <c r="H5" s="113"/>
      <c r="I5" s="114" t="s">
        <v>105</v>
      </c>
      <c r="J5" s="425" t="str">
        <f>MMc!J6</f>
        <v>M/M/2/</v>
      </c>
      <c r="K5" s="426"/>
      <c r="L5" s="153" t="s">
        <v>113</v>
      </c>
      <c r="M5" s="41"/>
      <c r="N5" s="111"/>
      <c r="O5" s="41"/>
      <c r="S5" s="5"/>
      <c r="V5" s="6"/>
      <c r="X5" s="5"/>
      <c r="Y5" s="6"/>
      <c r="AA5" s="6">
        <f>+$K$8/(clplus3*$K$9)</f>
        <v>0.18181818181818182</v>
      </c>
    </row>
    <row r="6" spans="1:31" ht="14.25" customHeight="1" thickBot="1" x14ac:dyDescent="0.3">
      <c r="A6" s="433"/>
      <c r="B6" s="434"/>
      <c r="C6" s="434"/>
      <c r="D6" s="434"/>
      <c r="E6" s="435"/>
      <c r="F6" s="41"/>
      <c r="G6" s="41"/>
      <c r="H6" s="41"/>
      <c r="I6" s="114" t="s">
        <v>106</v>
      </c>
      <c r="J6" s="420" t="e">
        <f>"M/M/"&amp;E8&amp;IF(E11="M","/","/"&amp;E11)&amp;IF(E12="M","","/"&amp;E12)</f>
        <v>#VALUE!</v>
      </c>
      <c r="K6" s="421"/>
      <c r="L6" s="146" t="str">
        <f>IF(OR(DATOS!K6="MMcL",DATOS!K6="MM1L"),DATOS!K6,"no corresponde!")</f>
        <v>no corresponde!</v>
      </c>
      <c r="M6" s="427" t="s">
        <v>112</v>
      </c>
      <c r="N6" s="428"/>
      <c r="O6" s="429"/>
      <c r="P6" s="5"/>
      <c r="Q6" s="8">
        <f>cl</f>
        <v>2</v>
      </c>
      <c r="V6">
        <f>cl+1</f>
        <v>3</v>
      </c>
      <c r="AA6">
        <f>cl+3</f>
        <v>5</v>
      </c>
    </row>
    <row r="7" spans="1:31" ht="12" customHeight="1" x14ac:dyDescent="0.25">
      <c r="A7" s="213" t="s">
        <v>125</v>
      </c>
      <c r="B7" s="213"/>
      <c r="C7" s="213"/>
      <c r="D7" s="214"/>
      <c r="E7" s="215" t="s">
        <v>119</v>
      </c>
      <c r="F7" s="41"/>
      <c r="G7" s="44" t="s">
        <v>49</v>
      </c>
      <c r="H7" s="41"/>
      <c r="I7" s="41"/>
      <c r="J7" s="44"/>
      <c r="K7" s="110"/>
      <c r="L7" s="41"/>
      <c r="M7" s="151" t="s">
        <v>33</v>
      </c>
      <c r="N7" s="152" t="s">
        <v>34</v>
      </c>
      <c r="O7" s="151" t="s">
        <v>35</v>
      </c>
      <c r="Q7" s="10" t="s">
        <v>34</v>
      </c>
      <c r="R7" s="11" t="s">
        <v>57</v>
      </c>
      <c r="S7" s="11" t="s">
        <v>44</v>
      </c>
      <c r="T7" s="11" t="s">
        <v>56</v>
      </c>
      <c r="U7" s="12" t="s">
        <v>58</v>
      </c>
      <c r="V7" s="10" t="s">
        <v>34</v>
      </c>
      <c r="W7" s="11" t="s">
        <v>93</v>
      </c>
      <c r="X7" s="11" t="s">
        <v>44</v>
      </c>
      <c r="Y7" s="11" t="s">
        <v>56</v>
      </c>
      <c r="Z7" s="12" t="s">
        <v>58</v>
      </c>
      <c r="AA7" s="10" t="s">
        <v>34</v>
      </c>
      <c r="AB7" s="11" t="s">
        <v>57</v>
      </c>
      <c r="AC7" s="11" t="s">
        <v>44</v>
      </c>
      <c r="AD7" s="11" t="s">
        <v>56</v>
      </c>
      <c r="AE7" s="12" t="s">
        <v>58</v>
      </c>
    </row>
    <row r="8" spans="1:31" ht="12" customHeight="1" x14ac:dyDescent="0.25">
      <c r="A8" s="45" t="s">
        <v>1</v>
      </c>
      <c r="B8" s="45"/>
      <c r="C8" s="45"/>
      <c r="D8" s="46" t="s">
        <v>2</v>
      </c>
      <c r="E8" s="165">
        <f>DATOS!E8</f>
        <v>2</v>
      </c>
      <c r="F8" s="41"/>
      <c r="G8" s="422" t="str">
        <f>"Tasa de arribos (clientes/"&amp;E4&amp;")"</f>
        <v>Tasa de arribos (clientes/hora)</v>
      </c>
      <c r="H8" s="423"/>
      <c r="I8" s="424"/>
      <c r="J8" s="115" t="s">
        <v>17</v>
      </c>
      <c r="K8" s="116">
        <f>+lmbd</f>
        <v>60</v>
      </c>
      <c r="L8" s="117" t="str">
        <f>"cl/"&amp;E4</f>
        <v>cl/hora</v>
      </c>
      <c r="M8" s="118">
        <v>0</v>
      </c>
      <c r="N8" s="119" t="e">
        <f t="shared" ref="N8:N39" si="0">IF($E$8&gt;1,V8,AA8)</f>
        <v>#VALUE!</v>
      </c>
      <c r="O8" s="119" t="e">
        <f>N8</f>
        <v>#VALUE!</v>
      </c>
      <c r="Q8" s="13">
        <f>1/((((gamma^cl)/FACT(cl))*SUM(T:T))+(SUM(R:R)))</f>
        <v>0.52380952380952384</v>
      </c>
      <c r="R8" s="6">
        <f t="shared" ref="R8:R39" si="1">IF($M8&lt;cl,((gamma)^($M8))/(FACT($M8)),0)</f>
        <v>1</v>
      </c>
      <c r="S8" s="6" t="e">
        <f>IF(E8=1,AA8,V8)</f>
        <v>#VALUE!</v>
      </c>
      <c r="T8" s="6"/>
      <c r="U8" s="14">
        <v>0</v>
      </c>
      <c r="V8" s="13" t="e">
        <f>1/(SUM(Y8:Y108)+(X11*(SUM(Z8:Z108))))</f>
        <v>#VALUE!</v>
      </c>
      <c r="W8" s="6">
        <f>IF($M8&lt;=$E$8,(($K$28^$M8)/FACT($M8)),IF($M8&lt;=$E$11,(($K$28^($M8))/((FACT($E$8))*($E$8^(M8-$E$11)))),0))</f>
        <v>1</v>
      </c>
      <c r="X8" s="6"/>
      <c r="Y8" s="6">
        <f>IF($M8&lt;=$E$8,W8,0)</f>
        <v>1</v>
      </c>
      <c r="Z8" s="14" t="e">
        <f>IF(AND($M8&gt;$E$8,$M8&lt;=$E$11),($K$29^(M8-$E$8)),0)</f>
        <v>#VALUE!</v>
      </c>
      <c r="AA8" s="13" t="e">
        <f>AC9</f>
        <v>#VALUE!</v>
      </c>
      <c r="AB8" s="6"/>
      <c r="AC8" s="6" t="s">
        <v>79</v>
      </c>
      <c r="AD8" s="6"/>
      <c r="AE8" s="14"/>
    </row>
    <row r="9" spans="1:31" ht="12" customHeight="1" x14ac:dyDescent="0.25">
      <c r="A9" s="45" t="str">
        <f>"Tasa de arribos (por "&amp;E4&amp;")"</f>
        <v>Tasa de arribos (por hora)</v>
      </c>
      <c r="B9" s="45"/>
      <c r="C9" s="45"/>
      <c r="D9" s="47" t="s">
        <v>17</v>
      </c>
      <c r="E9" s="165">
        <f>DATOS!E9</f>
        <v>60</v>
      </c>
      <c r="F9" s="41"/>
      <c r="G9" s="405" t="str">
        <f>"Tasa de servicio (clientes/"&amp;E4&amp;")"</f>
        <v>Tasa de servicio (clientes/hora)</v>
      </c>
      <c r="H9" s="406"/>
      <c r="I9" s="407"/>
      <c r="J9" s="120" t="s">
        <v>16</v>
      </c>
      <c r="K9" s="121">
        <f>+micro</f>
        <v>66</v>
      </c>
      <c r="L9" s="42" t="str">
        <f>L8</f>
        <v>cl/hora</v>
      </c>
      <c r="M9" s="118">
        <v>1</v>
      </c>
      <c r="N9" s="119" t="e">
        <f t="shared" si="0"/>
        <v>#VALUE!</v>
      </c>
      <c r="O9" s="119" t="e">
        <f>IF(OR(O8=1,O8=0),0,O8+N9)</f>
        <v>#VALUE!</v>
      </c>
      <c r="Q9" s="37">
        <f t="shared" ref="Q9:Q24" si="2">IF($M9&lt;cl,$Q8*$K$28/M9,IF(AND(cl&lt;$M9,$M9&lt;=esp),$Q8*$K$28/cl,0))</f>
        <v>0.47619047619047622</v>
      </c>
      <c r="R9" s="6">
        <f t="shared" si="1"/>
        <v>0.90909090909090906</v>
      </c>
      <c r="S9" s="6" t="e">
        <f t="shared" ref="S9:S40" si="3">IF(cl&gt;1,IF($M9&lt;cl,(((cl-M9)/cl)*$V9),0),IF($M9&lt;cl,(((cl-M9)/cl)*AA9),0))</f>
        <v>#VALUE!</v>
      </c>
      <c r="T9" s="6"/>
      <c r="U9" s="14">
        <v>1</v>
      </c>
      <c r="V9" s="37" t="e">
        <f>IF(M9&lt;=$E$8,W9*$V$8,IF(M9&lt;=$E$11,(($K$28^M9)/((FACT($E$8))*($E$8^(M9-$E$8))))*$V$8,0))</f>
        <v>#VALUE!</v>
      </c>
      <c r="W9" s="6">
        <f t="shared" ref="W9:W72" si="4">IF($M9&lt;=$E$8,(($K$28^$M9)/FACT($M9)),IF($M9&lt;=$E$11,(($K$28^($M9))/((FACT($E$8))*($E$8^(M9-$E$11)))),0))</f>
        <v>0.90909090909090906</v>
      </c>
      <c r="X9" s="38" t="s">
        <v>94</v>
      </c>
      <c r="Y9" s="6">
        <f t="shared" ref="Y9:Y72" si="5">IF($M9&lt;=$E$8,W9,0)</f>
        <v>0.90909090909090906</v>
      </c>
      <c r="Z9" s="14" t="e">
        <f t="shared" ref="Z9:Z72" si="6">IF(AND($M9&gt;$E$8,$M9&lt;=$E$11),($K$29^(M9-$E$8)),0)</f>
        <v>#VALUE!</v>
      </c>
      <c r="AA9" s="13" t="e">
        <f t="shared" ref="AA9:AA40" si="7">IF(M9&lt;=$E$11,$AC$9*(($K$28)^(M9)),0)</f>
        <v>#VALUE!</v>
      </c>
      <c r="AB9" s="6"/>
      <c r="AC9" s="6" t="e">
        <f>(1-K28)/(1-(K28^(E11+1)))</f>
        <v>#VALUE!</v>
      </c>
      <c r="AD9" s="6"/>
      <c r="AE9" s="14"/>
    </row>
    <row r="10" spans="1:31" ht="12" customHeight="1" x14ac:dyDescent="0.25">
      <c r="A10" s="45" t="str">
        <f>"Tasa de servicio (por servidor por "&amp;E4&amp;") "</f>
        <v xml:space="preserve">Tasa de servicio (por servidor por hora) </v>
      </c>
      <c r="B10" s="45"/>
      <c r="C10" s="45"/>
      <c r="D10" s="47" t="s">
        <v>16</v>
      </c>
      <c r="E10" s="165">
        <f>DATOS!E10</f>
        <v>66</v>
      </c>
      <c r="F10" s="41"/>
      <c r="G10" s="122" t="s">
        <v>19</v>
      </c>
      <c r="H10" s="41"/>
      <c r="I10" s="41"/>
      <c r="J10" s="115" t="s">
        <v>36</v>
      </c>
      <c r="K10" s="123" t="e">
        <f>1-SUM(S8:S108)</f>
        <v>#VALUE!</v>
      </c>
      <c r="L10" s="124" t="e">
        <f>K10</f>
        <v>#VALUE!</v>
      </c>
      <c r="M10" s="118">
        <v>2</v>
      </c>
      <c r="N10" s="119" t="e">
        <f t="shared" si="0"/>
        <v>#VALUE!</v>
      </c>
      <c r="O10" s="119" t="e">
        <f t="shared" ref="O10:O73" si="8">IF(OR(O9=1,O9=0),0,O9+N10)</f>
        <v>#VALUE!</v>
      </c>
      <c r="Q10" s="37">
        <f t="shared" si="2"/>
        <v>0</v>
      </c>
      <c r="R10" s="6">
        <f t="shared" si="1"/>
        <v>0</v>
      </c>
      <c r="S10" s="6">
        <f t="shared" si="3"/>
        <v>0</v>
      </c>
      <c r="T10" s="6"/>
      <c r="U10" s="14">
        <v>2</v>
      </c>
      <c r="V10" s="37" t="e">
        <f t="shared" ref="V10:V73" si="9">IF(M10&lt;=$E$8,W10*$V$8,IF(M10&lt;=$E$11,(($K$28^M10)/((FACT($E$8))*($E$8^(M10-$E$8))))*$V$8,0))</f>
        <v>#VALUE!</v>
      </c>
      <c r="W10" s="6">
        <f t="shared" si="4"/>
        <v>0.41322314049586772</v>
      </c>
      <c r="X10" s="39" t="s">
        <v>95</v>
      </c>
      <c r="Y10" s="6">
        <f t="shared" si="5"/>
        <v>0.41322314049586772</v>
      </c>
      <c r="Z10" s="14" t="e">
        <f t="shared" si="6"/>
        <v>#VALUE!</v>
      </c>
      <c r="AA10" s="13" t="e">
        <f t="shared" si="7"/>
        <v>#VALUE!</v>
      </c>
      <c r="AB10" s="6"/>
      <c r="AC10" s="6"/>
      <c r="AD10" s="6"/>
      <c r="AE10" s="14"/>
    </row>
    <row r="11" spans="1:31" ht="12" customHeight="1" x14ac:dyDescent="0.25">
      <c r="A11" s="45" t="str">
        <f>"Máx espacio de espera (inckuye "&amp;E8&amp;" servidores)"</f>
        <v>Máx espacio de espera (inckuye 2 servidores)</v>
      </c>
      <c r="B11" s="45"/>
      <c r="C11" s="45"/>
      <c r="D11" s="46" t="s">
        <v>82</v>
      </c>
      <c r="E11" s="166" t="e">
        <f>DATOS!O12+E8</f>
        <v>#VALUE!</v>
      </c>
      <c r="F11" s="41"/>
      <c r="G11" s="405" t="s">
        <v>20</v>
      </c>
      <c r="H11" s="406"/>
      <c r="I11" s="407"/>
      <c r="J11" s="120" t="s">
        <v>21</v>
      </c>
      <c r="K11" s="121" t="e">
        <f ca="1">IF(E8&gt;1,X24,AC15)</f>
        <v>#VALUE!</v>
      </c>
      <c r="L11" s="42"/>
      <c r="M11" s="118">
        <v>3</v>
      </c>
      <c r="N11" s="119" t="e">
        <f t="shared" si="0"/>
        <v>#VALUE!</v>
      </c>
      <c r="O11" s="119" t="e">
        <f t="shared" si="8"/>
        <v>#VALUE!</v>
      </c>
      <c r="Q11" s="37">
        <f t="shared" si="2"/>
        <v>0</v>
      </c>
      <c r="R11" s="6">
        <f t="shared" si="1"/>
        <v>0</v>
      </c>
      <c r="S11" s="6">
        <f t="shared" si="3"/>
        <v>0</v>
      </c>
      <c r="T11" s="6"/>
      <c r="U11" s="14">
        <v>3</v>
      </c>
      <c r="V11" s="37" t="e">
        <f t="shared" si="9"/>
        <v>#VALUE!</v>
      </c>
      <c r="W11" s="6" t="e">
        <f t="shared" si="4"/>
        <v>#VALUE!</v>
      </c>
      <c r="X11" s="6">
        <f>($K$28^$E$8)/(FACT($E$8))</f>
        <v>0.41322314049586772</v>
      </c>
      <c r="Y11" s="6">
        <f t="shared" si="5"/>
        <v>0</v>
      </c>
      <c r="Z11" s="14" t="e">
        <f t="shared" si="6"/>
        <v>#VALUE!</v>
      </c>
      <c r="AA11" s="13" t="e">
        <f t="shared" si="7"/>
        <v>#VALUE!</v>
      </c>
      <c r="AB11" s="6"/>
      <c r="AC11" s="6" t="s">
        <v>86</v>
      </c>
      <c r="AD11" s="6"/>
      <c r="AE11" s="14"/>
    </row>
    <row r="12" spans="1:31" ht="12" customHeight="1" x14ac:dyDescent="0.25">
      <c r="A12" s="45" t="s">
        <v>5</v>
      </c>
      <c r="B12" s="45"/>
      <c r="C12" s="45"/>
      <c r="D12" s="46" t="s">
        <v>81</v>
      </c>
      <c r="E12" s="166" t="str">
        <f>DATOS!O13</f>
        <v>M</v>
      </c>
      <c r="F12" s="41"/>
      <c r="G12" s="122" t="s">
        <v>22</v>
      </c>
      <c r="H12" s="41"/>
      <c r="I12" s="41"/>
      <c r="J12" s="115" t="s">
        <v>23</v>
      </c>
      <c r="K12" s="123" t="e">
        <f>IF(E8&gt;1,X21,AC19)</f>
        <v>#VALUE!</v>
      </c>
      <c r="L12" s="117"/>
      <c r="M12" s="118">
        <v>4</v>
      </c>
      <c r="N12" s="119" t="e">
        <f t="shared" si="0"/>
        <v>#VALUE!</v>
      </c>
      <c r="O12" s="119" t="e">
        <f t="shared" si="8"/>
        <v>#VALUE!</v>
      </c>
      <c r="Q12" s="37">
        <f t="shared" si="2"/>
        <v>0</v>
      </c>
      <c r="R12" s="6">
        <f t="shared" si="1"/>
        <v>0</v>
      </c>
      <c r="S12" s="6">
        <f t="shared" si="3"/>
        <v>0</v>
      </c>
      <c r="T12" s="6"/>
      <c r="U12" s="14">
        <v>4</v>
      </c>
      <c r="V12" s="37" t="e">
        <f t="shared" si="9"/>
        <v>#VALUE!</v>
      </c>
      <c r="W12" s="6" t="e">
        <f t="shared" si="4"/>
        <v>#VALUE!</v>
      </c>
      <c r="X12" s="6"/>
      <c r="Y12" s="6">
        <f t="shared" si="5"/>
        <v>0</v>
      </c>
      <c r="Z12" s="14" t="e">
        <f t="shared" si="6"/>
        <v>#VALUE!</v>
      </c>
      <c r="AA12" s="13" t="e">
        <f t="shared" si="7"/>
        <v>#VALUE!</v>
      </c>
      <c r="AB12" s="6"/>
      <c r="AC12" s="6">
        <f>K28/(1-K28)</f>
        <v>9.9999999999999964</v>
      </c>
      <c r="AD12" s="6"/>
      <c r="AE12" s="14"/>
    </row>
    <row r="13" spans="1:31" ht="12" customHeight="1" x14ac:dyDescent="0.25">
      <c r="A13" s="45" t="str">
        <f>"Costo de servidor ocupado por "&amp;E4</f>
        <v>Costo de servidor ocupado por hora</v>
      </c>
      <c r="B13" s="45"/>
      <c r="C13" s="45"/>
      <c r="D13" s="46" t="s">
        <v>101</v>
      </c>
      <c r="E13" s="165">
        <f>DATOS!E13</f>
        <v>0</v>
      </c>
      <c r="F13" s="41"/>
      <c r="G13" s="405" t="s">
        <v>24</v>
      </c>
      <c r="H13" s="406"/>
      <c r="I13" s="407"/>
      <c r="J13" s="120" t="s">
        <v>25</v>
      </c>
      <c r="K13" s="121" t="e">
        <f ca="1">IF(E8&gt;1,X29,AC28)</f>
        <v>#VALUE!</v>
      </c>
      <c r="L13" s="42" t="str">
        <f>E4</f>
        <v>hora</v>
      </c>
      <c r="M13" s="118">
        <v>5</v>
      </c>
      <c r="N13" s="119" t="e">
        <f t="shared" si="0"/>
        <v>#VALUE!</v>
      </c>
      <c r="O13" s="119" t="e">
        <f t="shared" si="8"/>
        <v>#VALUE!</v>
      </c>
      <c r="Q13" s="37">
        <f t="shared" si="2"/>
        <v>0</v>
      </c>
      <c r="R13" s="6">
        <f t="shared" si="1"/>
        <v>0</v>
      </c>
      <c r="S13" s="6">
        <f t="shared" si="3"/>
        <v>0</v>
      </c>
      <c r="T13" s="6"/>
      <c r="U13" s="14">
        <v>5</v>
      </c>
      <c r="V13" s="37" t="e">
        <f t="shared" si="9"/>
        <v>#VALUE!</v>
      </c>
      <c r="W13" s="6" t="e">
        <f t="shared" si="4"/>
        <v>#VALUE!</v>
      </c>
      <c r="X13" s="6" t="s">
        <v>87</v>
      </c>
      <c r="Y13" s="6">
        <f t="shared" si="5"/>
        <v>0</v>
      </c>
      <c r="Z13" s="14" t="e">
        <f t="shared" si="6"/>
        <v>#VALUE!</v>
      </c>
      <c r="AA13" s="13" t="e">
        <f t="shared" si="7"/>
        <v>#VALUE!</v>
      </c>
      <c r="AB13" s="6"/>
      <c r="AC13" s="6"/>
      <c r="AD13" s="6"/>
      <c r="AE13" s="14"/>
    </row>
    <row r="14" spans="1:31" ht="12" customHeight="1" x14ac:dyDescent="0.25">
      <c r="A14" s="45" t="str">
        <f>"Costo de servidor libre por "&amp;E4</f>
        <v>Costo de servidor libre por hora</v>
      </c>
      <c r="B14" s="45"/>
      <c r="C14" s="45"/>
      <c r="D14" s="46" t="s">
        <v>102</v>
      </c>
      <c r="E14" s="165">
        <f>DATOS!E14</f>
        <v>0</v>
      </c>
      <c r="F14" s="41"/>
      <c r="G14" s="122" t="s">
        <v>26</v>
      </c>
      <c r="H14" s="41"/>
      <c r="I14" s="41"/>
      <c r="J14" s="115" t="s">
        <v>27</v>
      </c>
      <c r="K14" s="123" t="e">
        <f>IF(E8&gt;1,X31,AC30)</f>
        <v>#VALUE!</v>
      </c>
      <c r="L14" s="117" t="str">
        <f>E4</f>
        <v>hora</v>
      </c>
      <c r="M14" s="118">
        <v>6</v>
      </c>
      <c r="N14" s="119" t="e">
        <f t="shared" si="0"/>
        <v>#VALUE!</v>
      </c>
      <c r="O14" s="119" t="e">
        <f t="shared" si="8"/>
        <v>#VALUE!</v>
      </c>
      <c r="Q14" s="37">
        <f t="shared" si="2"/>
        <v>0</v>
      </c>
      <c r="R14" s="6">
        <f t="shared" si="1"/>
        <v>0</v>
      </c>
      <c r="S14" s="6">
        <f t="shared" si="3"/>
        <v>0</v>
      </c>
      <c r="T14" s="6"/>
      <c r="U14" s="14">
        <v>6</v>
      </c>
      <c r="V14" s="37" t="e">
        <f t="shared" si="9"/>
        <v>#VALUE!</v>
      </c>
      <c r="W14" s="6" t="e">
        <f t="shared" si="4"/>
        <v>#VALUE!</v>
      </c>
      <c r="X14" s="6" t="s">
        <v>96</v>
      </c>
      <c r="Y14" s="6">
        <f t="shared" si="5"/>
        <v>0</v>
      </c>
      <c r="Z14" s="14" t="e">
        <f t="shared" si="6"/>
        <v>#VALUE!</v>
      </c>
      <c r="AA14" s="13" t="e">
        <f t="shared" si="7"/>
        <v>#VALUE!</v>
      </c>
      <c r="AB14" s="6"/>
      <c r="AC14" s="6" t="s">
        <v>85</v>
      </c>
      <c r="AD14" s="6"/>
      <c r="AE14" s="14"/>
    </row>
    <row r="15" spans="1:31" ht="12" customHeight="1" x14ac:dyDescent="0.25">
      <c r="A15" s="45" t="str">
        <f>"Costo de cliente en espera por "&amp;E4</f>
        <v>Costo de cliente en espera por hora</v>
      </c>
      <c r="B15" s="45"/>
      <c r="C15" s="45"/>
      <c r="D15" s="46" t="s">
        <v>48</v>
      </c>
      <c r="E15" s="165">
        <f>DATOS!E15</f>
        <v>0</v>
      </c>
      <c r="F15" s="41"/>
      <c r="G15" s="405" t="s">
        <v>28</v>
      </c>
      <c r="H15" s="406"/>
      <c r="I15" s="407"/>
      <c r="J15" s="120" t="s">
        <v>29</v>
      </c>
      <c r="K15" s="125" t="e">
        <f>$N$8</f>
        <v>#VALUE!</v>
      </c>
      <c r="L15" s="126"/>
      <c r="M15" s="118">
        <v>7</v>
      </c>
      <c r="N15" s="119" t="e">
        <f t="shared" si="0"/>
        <v>#VALUE!</v>
      </c>
      <c r="O15" s="119" t="e">
        <f t="shared" si="8"/>
        <v>#VALUE!</v>
      </c>
      <c r="Q15" s="37">
        <f t="shared" si="2"/>
        <v>0</v>
      </c>
      <c r="R15" s="6">
        <f t="shared" si="1"/>
        <v>0</v>
      </c>
      <c r="S15" s="6">
        <f t="shared" si="3"/>
        <v>0</v>
      </c>
      <c r="T15" s="6"/>
      <c r="U15" s="14">
        <v>7</v>
      </c>
      <c r="V15" s="37" t="e">
        <f t="shared" si="9"/>
        <v>#VALUE!</v>
      </c>
      <c r="W15" s="6" t="e">
        <f t="shared" si="4"/>
        <v>#VALUE!</v>
      </c>
      <c r="X15" s="6" t="e">
        <f>($V$8)*($K$28^$E$8)*($K$29)</f>
        <v>#VALUE!</v>
      </c>
      <c r="Y15" s="6">
        <f t="shared" si="5"/>
        <v>0</v>
      </c>
      <c r="Z15" s="14" t="e">
        <f t="shared" si="6"/>
        <v>#VALUE!</v>
      </c>
      <c r="AA15" s="13" t="e">
        <f t="shared" si="7"/>
        <v>#VALUE!</v>
      </c>
      <c r="AB15" s="6"/>
      <c r="AC15" s="6" t="e">
        <f>AC12-(E11+1)*((K28)^(E11+1))/(1-(K28^(E11+1)))</f>
        <v>#VALUE!</v>
      </c>
      <c r="AD15" s="6"/>
      <c r="AE15" s="14"/>
    </row>
    <row r="16" spans="1:31" ht="12" customHeight="1" x14ac:dyDescent="0.25">
      <c r="A16" s="45" t="str">
        <f>"Costo de cliente en atención por "&amp;E4</f>
        <v>Costo de cliente en atención por hora</v>
      </c>
      <c r="B16" s="45"/>
      <c r="C16" s="45"/>
      <c r="D16" s="46" t="s">
        <v>103</v>
      </c>
      <c r="E16" s="165">
        <f>DATOS!E16</f>
        <v>0</v>
      </c>
      <c r="F16" s="41"/>
      <c r="G16" s="122" t="s">
        <v>30</v>
      </c>
      <c r="H16" s="41"/>
      <c r="I16" s="41"/>
      <c r="J16" s="115" t="s">
        <v>31</v>
      </c>
      <c r="K16" s="123" t="e">
        <f ca="1">1-SUM(OFFSET(N8:N108,0,0,(cl),1))</f>
        <v>#VALUE!</v>
      </c>
      <c r="L16" s="124" t="e">
        <f ca="1">K16</f>
        <v>#VALUE!</v>
      </c>
      <c r="M16" s="118">
        <v>8</v>
      </c>
      <c r="N16" s="119" t="e">
        <f t="shared" si="0"/>
        <v>#VALUE!</v>
      </c>
      <c r="O16" s="119" t="e">
        <f t="shared" si="8"/>
        <v>#VALUE!</v>
      </c>
      <c r="Q16" s="37">
        <f t="shared" si="2"/>
        <v>0</v>
      </c>
      <c r="R16" s="6">
        <f t="shared" si="1"/>
        <v>0</v>
      </c>
      <c r="S16" s="6">
        <f t="shared" si="3"/>
        <v>0</v>
      </c>
      <c r="T16" s="6"/>
      <c r="U16" s="14">
        <v>8</v>
      </c>
      <c r="V16" s="37" t="e">
        <f t="shared" si="9"/>
        <v>#VALUE!</v>
      </c>
      <c r="W16" s="6" t="e">
        <f t="shared" si="4"/>
        <v>#VALUE!</v>
      </c>
      <c r="X16" s="6" t="s">
        <v>97</v>
      </c>
      <c r="Y16" s="6">
        <f t="shared" si="5"/>
        <v>0</v>
      </c>
      <c r="Z16" s="14" t="e">
        <f t="shared" si="6"/>
        <v>#VALUE!</v>
      </c>
      <c r="AA16" s="13" t="e">
        <f t="shared" si="7"/>
        <v>#VALUE!</v>
      </c>
      <c r="AB16" s="6"/>
      <c r="AC16" s="6" t="e">
        <f>SUMPRODUCT(M8:M108,AA8:AA108)</f>
        <v>#VALUE!</v>
      </c>
      <c r="AD16" s="6"/>
      <c r="AE16" s="14"/>
    </row>
    <row r="17" spans="1:31" ht="12" customHeight="1" x14ac:dyDescent="0.25">
      <c r="A17" s="45" t="s">
        <v>6</v>
      </c>
      <c r="B17" s="45"/>
      <c r="C17" s="45"/>
      <c r="D17" s="46" t="s">
        <v>50</v>
      </c>
      <c r="E17" s="165">
        <f>DATOS!E17</f>
        <v>0</v>
      </c>
      <c r="F17" s="41"/>
      <c r="G17" s="408" t="str">
        <f>"Media de clientes rechazados por "&amp;E4</f>
        <v>Media de clientes rechazados por hora</v>
      </c>
      <c r="H17" s="409"/>
      <c r="I17" s="410"/>
      <c r="J17" s="127" t="s">
        <v>109</v>
      </c>
      <c r="K17" s="121" t="e">
        <f>K8*K18</f>
        <v>#VALUE!</v>
      </c>
      <c r="L17" s="42"/>
      <c r="M17" s="118">
        <v>9</v>
      </c>
      <c r="N17" s="119" t="e">
        <f t="shared" si="0"/>
        <v>#VALUE!</v>
      </c>
      <c r="O17" s="119" t="e">
        <f t="shared" si="8"/>
        <v>#VALUE!</v>
      </c>
      <c r="Q17" s="37">
        <f t="shared" si="2"/>
        <v>0</v>
      </c>
      <c r="R17" s="6">
        <f t="shared" si="1"/>
        <v>0</v>
      </c>
      <c r="S17" s="6">
        <f t="shared" si="3"/>
        <v>0</v>
      </c>
      <c r="T17" s="6"/>
      <c r="U17" s="14">
        <v>9</v>
      </c>
      <c r="V17" s="37" t="e">
        <f t="shared" si="9"/>
        <v>#VALUE!</v>
      </c>
      <c r="W17" s="6" t="e">
        <f t="shared" si="4"/>
        <v>#VALUE!</v>
      </c>
      <c r="X17" s="6">
        <f>(FACT($E$8))*((1-$K$29)^2)</f>
        <v>0.59504132231404949</v>
      </c>
      <c r="Y17" s="6">
        <f t="shared" si="5"/>
        <v>0</v>
      </c>
      <c r="Z17" s="14" t="e">
        <f t="shared" si="6"/>
        <v>#VALUE!</v>
      </c>
      <c r="AA17" s="13" t="e">
        <f t="shared" si="7"/>
        <v>#VALUE!</v>
      </c>
      <c r="AB17" s="6"/>
      <c r="AC17" s="6"/>
      <c r="AD17" s="6"/>
      <c r="AE17" s="14"/>
    </row>
    <row r="18" spans="1:31" ht="12" customHeight="1" x14ac:dyDescent="0.25">
      <c r="A18" s="45" t="s">
        <v>7</v>
      </c>
      <c r="B18" s="45"/>
      <c r="C18" s="45"/>
      <c r="D18" s="46" t="s">
        <v>104</v>
      </c>
      <c r="E18" s="165">
        <f>DATOS!E18</f>
        <v>0</v>
      </c>
      <c r="F18" s="41"/>
      <c r="G18" s="403" t="s">
        <v>108</v>
      </c>
      <c r="H18" s="403"/>
      <c r="I18" s="403"/>
      <c r="J18" s="115" t="s">
        <v>107</v>
      </c>
      <c r="K18" s="123" t="e">
        <f>_xlfn.XLOOKUP(E11,M8:M108,N8:N108)</f>
        <v>#VALUE!</v>
      </c>
      <c r="L18" s="117"/>
      <c r="M18" s="118">
        <v>10</v>
      </c>
      <c r="N18" s="119" t="e">
        <f t="shared" si="0"/>
        <v>#VALUE!</v>
      </c>
      <c r="O18" s="119" t="e">
        <f t="shared" si="8"/>
        <v>#VALUE!</v>
      </c>
      <c r="Q18" s="37">
        <f t="shared" si="2"/>
        <v>0</v>
      </c>
      <c r="R18" s="6">
        <f t="shared" si="1"/>
        <v>0</v>
      </c>
      <c r="S18" s="6">
        <f t="shared" si="3"/>
        <v>0</v>
      </c>
      <c r="T18" s="6"/>
      <c r="U18" s="14">
        <v>10</v>
      </c>
      <c r="V18" s="37" t="e">
        <f t="shared" si="9"/>
        <v>#VALUE!</v>
      </c>
      <c r="W18" s="6" t="e">
        <f t="shared" si="4"/>
        <v>#VALUE!</v>
      </c>
      <c r="X18" s="6" t="s">
        <v>98</v>
      </c>
      <c r="Y18" s="6">
        <f t="shared" si="5"/>
        <v>0</v>
      </c>
      <c r="Z18" s="14" t="e">
        <f t="shared" si="6"/>
        <v>#VALUE!</v>
      </c>
      <c r="AA18" s="13" t="e">
        <f t="shared" si="7"/>
        <v>#VALUE!</v>
      </c>
      <c r="AB18" s="6"/>
      <c r="AC18" s="6" t="s">
        <v>87</v>
      </c>
      <c r="AD18" s="6"/>
      <c r="AE18" s="14"/>
    </row>
    <row r="19" spans="1:31" ht="12" customHeight="1" x14ac:dyDescent="0.25">
      <c r="A19" s="45" t="str">
        <f>"Tiempo de referencia ("&amp;E4&amp;")"</f>
        <v>Tiempo de referencia (hora)</v>
      </c>
      <c r="B19" s="45"/>
      <c r="C19" s="45"/>
      <c r="D19" s="48" t="s">
        <v>18</v>
      </c>
      <c r="E19" s="165" t="str">
        <f>IF(DATOS!E19=0,"",DATOS!E19)</f>
        <v/>
      </c>
      <c r="F19" s="41"/>
      <c r="G19" s="403" t="str">
        <f>IF($E$19&lt;&gt;"","Probabilidad de Wq&gt;t cuando t = "&amp;E19,"")</f>
        <v/>
      </c>
      <c r="H19" s="403"/>
      <c r="I19" s="403"/>
      <c r="J19" s="120"/>
      <c r="K19" s="121" t="str">
        <f ca="1">IF(E19&lt;&gt;"",(1-SUM(OFFSET(K15,0,0,cl,1)))*EXP(-E8*micro*(1-$K$29)*$E$19),"")</f>
        <v/>
      </c>
      <c r="L19" s="42"/>
      <c r="M19" s="118">
        <v>11</v>
      </c>
      <c r="N19" s="119" t="e">
        <f t="shared" si="0"/>
        <v>#VALUE!</v>
      </c>
      <c r="O19" s="119" t="e">
        <f t="shared" si="8"/>
        <v>#VALUE!</v>
      </c>
      <c r="Q19" s="37">
        <f t="shared" si="2"/>
        <v>0</v>
      </c>
      <c r="R19" s="6">
        <f t="shared" si="1"/>
        <v>0</v>
      </c>
      <c r="S19" s="6">
        <f t="shared" si="3"/>
        <v>0</v>
      </c>
      <c r="T19" s="6"/>
      <c r="U19" s="14">
        <v>11</v>
      </c>
      <c r="V19" s="37" t="e">
        <f t="shared" si="9"/>
        <v>#VALUE!</v>
      </c>
      <c r="W19" s="6" t="e">
        <f t="shared" si="4"/>
        <v>#VALUE!</v>
      </c>
      <c r="X19" s="6" t="e">
        <f>(1-($K$29^($E$11-$E$8))-(($E$11-$E$8)*($K$29^($E$11-$E$8))*(1-$K$29)))</f>
        <v>#VALUE!</v>
      </c>
      <c r="Y19" s="6">
        <f t="shared" si="5"/>
        <v>0</v>
      </c>
      <c r="Z19" s="14" t="e">
        <f t="shared" si="6"/>
        <v>#VALUE!</v>
      </c>
      <c r="AA19" s="13" t="e">
        <f t="shared" si="7"/>
        <v>#VALUE!</v>
      </c>
      <c r="AB19" s="6"/>
      <c r="AC19" s="6" t="e">
        <f>AC15-(1-AA8)</f>
        <v>#VALUE!</v>
      </c>
      <c r="AD19" s="6"/>
      <c r="AE19" s="14"/>
    </row>
    <row r="20" spans="1:31" ht="11.25" customHeight="1" x14ac:dyDescent="0.25">
      <c r="A20" s="167"/>
      <c r="B20" s="167" t="str">
        <f>ADDRESS(cl+8,14)</f>
        <v>$N$10</v>
      </c>
      <c r="C20" s="167"/>
      <c r="D20" s="168"/>
      <c r="E20" s="167"/>
      <c r="F20" s="41"/>
      <c r="G20" s="128" t="s">
        <v>32</v>
      </c>
      <c r="H20" s="411"/>
      <c r="I20" s="412"/>
      <c r="J20" s="413"/>
      <c r="K20" s="129"/>
      <c r="L20" s="130"/>
      <c r="M20" s="118">
        <v>12</v>
      </c>
      <c r="N20" s="119" t="e">
        <f t="shared" si="0"/>
        <v>#VALUE!</v>
      </c>
      <c r="O20" s="119" t="e">
        <f t="shared" si="8"/>
        <v>#VALUE!</v>
      </c>
      <c r="Q20" s="37">
        <f t="shared" si="2"/>
        <v>0</v>
      </c>
      <c r="R20" s="6">
        <f t="shared" si="1"/>
        <v>0</v>
      </c>
      <c r="S20" s="6">
        <f t="shared" si="3"/>
        <v>0</v>
      </c>
      <c r="T20" s="6"/>
      <c r="U20" s="14">
        <v>12</v>
      </c>
      <c r="V20" s="37" t="e">
        <f t="shared" si="9"/>
        <v>#VALUE!</v>
      </c>
      <c r="W20" s="6" t="e">
        <f t="shared" si="4"/>
        <v>#VALUE!</v>
      </c>
      <c r="X20" s="6" t="s">
        <v>99</v>
      </c>
      <c r="Y20" s="6">
        <f t="shared" si="5"/>
        <v>0</v>
      </c>
      <c r="Z20" s="14" t="e">
        <f t="shared" si="6"/>
        <v>#VALUE!</v>
      </c>
      <c r="AA20" s="13" t="e">
        <f t="shared" si="7"/>
        <v>#VALUE!</v>
      </c>
      <c r="AB20" s="6"/>
      <c r="AC20" s="6"/>
      <c r="AD20" s="6"/>
      <c r="AE20" s="14"/>
    </row>
    <row r="21" spans="1:31" ht="11.25" customHeight="1" x14ac:dyDescent="0.25">
      <c r="A21" s="167"/>
      <c r="B21" s="167" t="str">
        <f>ADDRESS(cl+8-1,15)</f>
        <v>$O$9</v>
      </c>
      <c r="C21" s="167" t="e">
        <f>(1-(K29^(E11-E8+1))-(1-K29)*(E11-E8+1)*(K29^(E11-E8)))*((N8*(K28^(E8))*K29)/(FACT(E8)*((1-K29)^2)))</f>
        <v>#VALUE!</v>
      </c>
      <c r="D21" s="168"/>
      <c r="E21" s="167"/>
      <c r="F21" s="41"/>
      <c r="G21" s="122" t="str">
        <f>"Costo de servidor ocupado/"&amp;E4</f>
        <v>Costo de servidor ocupado/hora</v>
      </c>
      <c r="H21" s="41"/>
      <c r="I21" s="41"/>
      <c r="J21" s="115" t="s">
        <v>45</v>
      </c>
      <c r="K21" s="131" t="e">
        <f>E13*E8*K10</f>
        <v>#VALUE!</v>
      </c>
      <c r="L21" s="117" t="str">
        <f t="shared" ref="L21:L27" si="10">"$/"&amp;$E$4</f>
        <v>$/hora</v>
      </c>
      <c r="M21" s="118">
        <v>13</v>
      </c>
      <c r="N21" s="119" t="e">
        <f t="shared" si="0"/>
        <v>#VALUE!</v>
      </c>
      <c r="O21" s="119" t="e">
        <f t="shared" si="8"/>
        <v>#VALUE!</v>
      </c>
      <c r="Q21" s="37">
        <f t="shared" si="2"/>
        <v>0</v>
      </c>
      <c r="R21" s="6">
        <f t="shared" si="1"/>
        <v>0</v>
      </c>
      <c r="S21" s="6">
        <f t="shared" si="3"/>
        <v>0</v>
      </c>
      <c r="T21" s="6"/>
      <c r="U21" s="14">
        <v>13</v>
      </c>
      <c r="V21" s="37" t="e">
        <f t="shared" si="9"/>
        <v>#VALUE!</v>
      </c>
      <c r="W21" s="6" t="e">
        <f t="shared" si="4"/>
        <v>#VALUE!</v>
      </c>
      <c r="X21" s="6" t="e">
        <f>X19*(X15/X17)</f>
        <v>#VALUE!</v>
      </c>
      <c r="Y21" s="6">
        <f t="shared" si="5"/>
        <v>0</v>
      </c>
      <c r="Z21" s="14" t="e">
        <f t="shared" si="6"/>
        <v>#VALUE!</v>
      </c>
      <c r="AA21" s="13" t="e">
        <f t="shared" si="7"/>
        <v>#VALUE!</v>
      </c>
      <c r="AB21" s="6"/>
      <c r="AC21" s="6" t="s">
        <v>89</v>
      </c>
      <c r="AD21" s="6"/>
      <c r="AE21" s="14"/>
    </row>
    <row r="22" spans="1:31" ht="11.25" customHeight="1" x14ac:dyDescent="0.25">
      <c r="A22" s="167"/>
      <c r="B22" s="167" t="e">
        <f>ADDRESS(esp+8+1,15)</f>
        <v>#VALUE!</v>
      </c>
      <c r="C22" s="167"/>
      <c r="D22" s="168"/>
      <c r="E22" s="167"/>
      <c r="F22" s="41"/>
      <c r="G22" s="132" t="str">
        <f>"Costo de servidor libre/"&amp;E4</f>
        <v>Costo de servidor libre/hora</v>
      </c>
      <c r="H22" s="133"/>
      <c r="I22" s="134"/>
      <c r="J22" s="120" t="s">
        <v>46</v>
      </c>
      <c r="K22" s="135" t="e">
        <f>E14*E8*(1-K10)</f>
        <v>#VALUE!</v>
      </c>
      <c r="L22" s="117" t="str">
        <f t="shared" si="10"/>
        <v>$/hora</v>
      </c>
      <c r="M22" s="118">
        <v>14</v>
      </c>
      <c r="N22" s="119" t="e">
        <f t="shared" si="0"/>
        <v>#VALUE!</v>
      </c>
      <c r="O22" s="119" t="e">
        <f t="shared" si="8"/>
        <v>#VALUE!</v>
      </c>
      <c r="Q22" s="37">
        <f t="shared" si="2"/>
        <v>0</v>
      </c>
      <c r="R22" s="6">
        <f t="shared" si="1"/>
        <v>0</v>
      </c>
      <c r="S22" s="6">
        <f t="shared" si="3"/>
        <v>0</v>
      </c>
      <c r="T22" s="6"/>
      <c r="U22" s="14">
        <v>14</v>
      </c>
      <c r="V22" s="37" t="e">
        <f t="shared" si="9"/>
        <v>#VALUE!</v>
      </c>
      <c r="W22" s="6" t="e">
        <f t="shared" si="4"/>
        <v>#VALUE!</v>
      </c>
      <c r="X22" s="6"/>
      <c r="Y22" s="6">
        <f t="shared" si="5"/>
        <v>0</v>
      </c>
      <c r="Z22" s="14" t="e">
        <f t="shared" si="6"/>
        <v>#VALUE!</v>
      </c>
      <c r="AA22" s="13" t="e">
        <f t="shared" si="7"/>
        <v>#VALUE!</v>
      </c>
      <c r="AB22" s="6"/>
      <c r="AC22" s="6" t="e" cm="1">
        <f t="array" ref="AC22">K8*(1-peka)</f>
        <v>#VALUE!</v>
      </c>
      <c r="AD22" s="6"/>
      <c r="AE22" s="14"/>
    </row>
    <row r="23" spans="1:31" ht="11.25" customHeight="1" x14ac:dyDescent="0.25">
      <c r="A23" s="167"/>
      <c r="B23" s="167"/>
      <c r="C23" s="167"/>
      <c r="D23" s="168"/>
      <c r="E23" s="167"/>
      <c r="F23" s="41"/>
      <c r="G23" s="122" t="str">
        <f>"Costo de cliente en servicio/"&amp;E4</f>
        <v>Costo de cliente en servicio/hora</v>
      </c>
      <c r="H23" s="41"/>
      <c r="I23" s="41"/>
      <c r="J23" s="115" t="s">
        <v>47</v>
      </c>
      <c r="K23" s="131" t="e">
        <f ca="1">cclate*(K11-K12)</f>
        <v>#VALUE!</v>
      </c>
      <c r="L23" s="117" t="str">
        <f t="shared" si="10"/>
        <v>$/hora</v>
      </c>
      <c r="M23" s="118">
        <v>15</v>
      </c>
      <c r="N23" s="119" t="e">
        <f t="shared" si="0"/>
        <v>#VALUE!</v>
      </c>
      <c r="O23" s="119" t="e">
        <f t="shared" si="8"/>
        <v>#VALUE!</v>
      </c>
      <c r="Q23" s="37">
        <f t="shared" si="2"/>
        <v>0</v>
      </c>
      <c r="R23" s="6">
        <f t="shared" si="1"/>
        <v>0</v>
      </c>
      <c r="S23" s="6">
        <f t="shared" si="3"/>
        <v>0</v>
      </c>
      <c r="T23" s="6"/>
      <c r="U23" s="14">
        <v>15</v>
      </c>
      <c r="V23" s="37" t="e">
        <f t="shared" si="9"/>
        <v>#VALUE!</v>
      </c>
      <c r="W23" s="6" t="e">
        <f t="shared" si="4"/>
        <v>#VALUE!</v>
      </c>
      <c r="X23" s="6" t="s">
        <v>85</v>
      </c>
      <c r="Y23" s="6">
        <f t="shared" si="5"/>
        <v>0</v>
      </c>
      <c r="Z23" s="14" t="e">
        <f t="shared" si="6"/>
        <v>#VALUE!</v>
      </c>
      <c r="AA23" s="13" t="e">
        <f t="shared" si="7"/>
        <v>#VALUE!</v>
      </c>
      <c r="AB23" s="6"/>
      <c r="AC23" s="6"/>
      <c r="AD23" s="6"/>
      <c r="AE23" s="14"/>
    </row>
    <row r="24" spans="1:31" ht="11.25" customHeight="1" x14ac:dyDescent="0.25">
      <c r="A24" s="167"/>
      <c r="B24" s="167"/>
      <c r="C24" s="167"/>
      <c r="D24" s="168"/>
      <c r="E24" s="167"/>
      <c r="F24" s="41"/>
      <c r="G24" s="132" t="str">
        <f>"Costo de cliente en espera/"&amp;E4</f>
        <v>Costo de cliente en espera/hora</v>
      </c>
      <c r="H24" s="133"/>
      <c r="I24" s="134"/>
      <c r="J24" s="120" t="s">
        <v>48</v>
      </c>
      <c r="K24" s="135" t="e">
        <f>cclesp*K12</f>
        <v>#VALUE!</v>
      </c>
      <c r="L24" s="117" t="str">
        <f t="shared" si="10"/>
        <v>$/hora</v>
      </c>
      <c r="M24" s="118">
        <v>16</v>
      </c>
      <c r="N24" s="119" t="e">
        <f t="shared" si="0"/>
        <v>#VALUE!</v>
      </c>
      <c r="O24" s="119" t="e">
        <f t="shared" si="8"/>
        <v>#VALUE!</v>
      </c>
      <c r="Q24" s="37">
        <f t="shared" si="2"/>
        <v>0</v>
      </c>
      <c r="R24" s="6">
        <f t="shared" si="1"/>
        <v>0</v>
      </c>
      <c r="S24" s="6">
        <f t="shared" si="3"/>
        <v>0</v>
      </c>
      <c r="T24" s="6"/>
      <c r="U24" s="14">
        <v>16</v>
      </c>
      <c r="V24" s="37" t="e">
        <f t="shared" si="9"/>
        <v>#VALUE!</v>
      </c>
      <c r="W24" s="6" t="e">
        <f t="shared" si="4"/>
        <v>#VALUE!</v>
      </c>
      <c r="X24" s="6" t="e">
        <f ca="1">SUMPRODUCT(OFFSET(M8:M108,0,0,$E$8-1,1),OFFSET(V8:V108,0,0,$E$8-1,1))+X21+($E$8*(1-SUM(OFFSET(V8:V108,0,0,$E$8-1,1))))</f>
        <v>#VALUE!</v>
      </c>
      <c r="Y24" s="6">
        <f t="shared" si="5"/>
        <v>0</v>
      </c>
      <c r="Z24" s="14" t="e">
        <f t="shared" si="6"/>
        <v>#VALUE!</v>
      </c>
      <c r="AA24" s="13" t="e">
        <f t="shared" si="7"/>
        <v>#VALUE!</v>
      </c>
      <c r="AB24" s="6"/>
      <c r="AC24" s="6" t="s">
        <v>90</v>
      </c>
      <c r="AD24" s="6"/>
      <c r="AE24" s="14"/>
    </row>
    <row r="25" spans="1:31" ht="11.25" customHeight="1" x14ac:dyDescent="0.25">
      <c r="A25" s="167"/>
      <c r="B25" s="167"/>
      <c r="C25" s="167"/>
      <c r="D25" s="168"/>
      <c r="E25" s="167"/>
      <c r="F25" s="41"/>
      <c r="G25" s="136" t="str">
        <f>"Costo de cliente rechazado/"&amp;E4</f>
        <v>Costo de cliente rechazado/hora</v>
      </c>
      <c r="H25" s="137"/>
      <c r="I25" s="138"/>
      <c r="J25" s="115" t="s">
        <v>50</v>
      </c>
      <c r="K25" s="131" t="e">
        <f>+K17*E17</f>
        <v>#VALUE!</v>
      </c>
      <c r="L25" s="117" t="str">
        <f t="shared" si="10"/>
        <v>$/hora</v>
      </c>
      <c r="M25" s="118">
        <v>17</v>
      </c>
      <c r="N25" s="119" t="e">
        <f t="shared" si="0"/>
        <v>#VALUE!</v>
      </c>
      <c r="O25" s="119" t="e">
        <f t="shared" si="8"/>
        <v>#VALUE!</v>
      </c>
      <c r="Q25" s="13">
        <f>IF($M25&lt;=cl,$Q24*$K$28/M25,IF(AND(cl&lt;$M25,$M25&lt;=esp),$Q24*$K$28/cl,0))</f>
        <v>0</v>
      </c>
      <c r="R25" s="6">
        <f t="shared" si="1"/>
        <v>0</v>
      </c>
      <c r="S25" s="6">
        <f t="shared" si="3"/>
        <v>0</v>
      </c>
      <c r="T25" s="6"/>
      <c r="U25" s="14">
        <v>17</v>
      </c>
      <c r="V25" s="37" t="e">
        <f t="shared" si="9"/>
        <v>#VALUE!</v>
      </c>
      <c r="W25" s="6" t="e">
        <f t="shared" si="4"/>
        <v>#VALUE!</v>
      </c>
      <c r="X25" s="6"/>
      <c r="Y25" s="6">
        <f t="shared" si="5"/>
        <v>0</v>
      </c>
      <c r="Z25" s="14" t="e">
        <f t="shared" si="6"/>
        <v>#VALUE!</v>
      </c>
      <c r="AA25" s="13" t="e">
        <f t="shared" si="7"/>
        <v>#VALUE!</v>
      </c>
      <c r="AB25" s="6"/>
      <c r="AC25" s="6" t="e">
        <f>_xlfn.XLOOKUP($E$11,M8:M108,AA8:AA108)</f>
        <v>#VALUE!</v>
      </c>
      <c r="AD25" s="6"/>
      <c r="AE25" s="14"/>
    </row>
    <row r="26" spans="1:31" ht="11.25" customHeight="1" x14ac:dyDescent="0.25">
      <c r="A26" s="167"/>
      <c r="B26" s="167"/>
      <c r="C26" s="167"/>
      <c r="D26" s="168"/>
      <c r="E26" s="167"/>
      <c r="F26" s="41"/>
      <c r="G26" s="132" t="str">
        <f>"Costo de espacio de cola/"&amp;E4</f>
        <v>Costo de espacio de cola/hora</v>
      </c>
      <c r="H26" s="133"/>
      <c r="I26" s="134"/>
      <c r="J26" s="120" t="s">
        <v>51</v>
      </c>
      <c r="K26" s="135">
        <f>+E18</f>
        <v>0</v>
      </c>
      <c r="L26" s="117" t="str">
        <f t="shared" si="10"/>
        <v>$/hora</v>
      </c>
      <c r="M26" s="118">
        <v>18</v>
      </c>
      <c r="N26" s="119" t="e">
        <f t="shared" si="0"/>
        <v>#VALUE!</v>
      </c>
      <c r="O26" s="119" t="e">
        <f t="shared" si="8"/>
        <v>#VALUE!</v>
      </c>
      <c r="Q26" s="13">
        <f t="shared" ref="Q26:Q40" si="11">IF($M26&lt;=cl,$Q25*gamma/cl,IF(AND(cl&lt;$M26,$M26&lt;=esp),$Q25*gamma/cl,0))</f>
        <v>0</v>
      </c>
      <c r="R26" s="6">
        <f t="shared" si="1"/>
        <v>0</v>
      </c>
      <c r="S26" s="6">
        <f t="shared" si="3"/>
        <v>0</v>
      </c>
      <c r="T26" s="6"/>
      <c r="U26" s="14">
        <v>18</v>
      </c>
      <c r="V26" s="37" t="e">
        <f t="shared" si="9"/>
        <v>#VALUE!</v>
      </c>
      <c r="W26" s="6" t="e">
        <f t="shared" si="4"/>
        <v>#VALUE!</v>
      </c>
      <c r="X26" s="6" t="e">
        <f>SUMPRODUCT(M8:M11,V8:V11)</f>
        <v>#VALUE!</v>
      </c>
      <c r="Y26" s="6">
        <f t="shared" si="5"/>
        <v>0</v>
      </c>
      <c r="Z26" s="14" t="e">
        <f t="shared" si="6"/>
        <v>#VALUE!</v>
      </c>
      <c r="AA26" s="13" t="e">
        <f t="shared" si="7"/>
        <v>#VALUE!</v>
      </c>
      <c r="AB26" s="6"/>
      <c r="AC26" s="6"/>
      <c r="AD26" s="6"/>
      <c r="AE26" s="14"/>
    </row>
    <row r="27" spans="1:31" ht="11.25" customHeight="1" x14ac:dyDescent="0.25">
      <c r="A27" s="167"/>
      <c r="B27" s="167"/>
      <c r="C27" s="167"/>
      <c r="D27" s="168"/>
      <c r="E27" s="167"/>
      <c r="F27" s="41"/>
      <c r="G27" s="139" t="str">
        <f>"Costo total del sistema/"&amp;E4</f>
        <v>Costo total del sistema/hora</v>
      </c>
      <c r="H27" s="140"/>
      <c r="I27" s="140"/>
      <c r="J27" s="115" t="s">
        <v>52</v>
      </c>
      <c r="K27" s="141" t="e">
        <f>SUM(K21:K26)</f>
        <v>#VALUE!</v>
      </c>
      <c r="L27" s="117" t="str">
        <f t="shared" si="10"/>
        <v>$/hora</v>
      </c>
      <c r="M27" s="118">
        <v>19</v>
      </c>
      <c r="N27" s="119" t="e">
        <f t="shared" si="0"/>
        <v>#VALUE!</v>
      </c>
      <c r="O27" s="119" t="e">
        <f t="shared" si="8"/>
        <v>#VALUE!</v>
      </c>
      <c r="Q27" s="13">
        <f t="shared" si="11"/>
        <v>0</v>
      </c>
      <c r="R27" s="6">
        <f t="shared" si="1"/>
        <v>0</v>
      </c>
      <c r="S27" s="6">
        <f t="shared" si="3"/>
        <v>0</v>
      </c>
      <c r="T27" s="6"/>
      <c r="U27" s="14">
        <v>19</v>
      </c>
      <c r="V27" s="37" t="e">
        <f t="shared" si="9"/>
        <v>#VALUE!</v>
      </c>
      <c r="W27" s="6" t="e">
        <f t="shared" si="4"/>
        <v>#VALUE!</v>
      </c>
      <c r="X27" s="6" t="e">
        <f ca="1">($E$8*(1-SUM(OFFSET(V8:V108,0,0,$E$8-1,1))))</f>
        <v>#VALUE!</v>
      </c>
      <c r="Y27" s="6">
        <f t="shared" si="5"/>
        <v>0</v>
      </c>
      <c r="Z27" s="14" t="e">
        <f t="shared" si="6"/>
        <v>#VALUE!</v>
      </c>
      <c r="AA27" s="13" t="e">
        <f t="shared" si="7"/>
        <v>#VALUE!</v>
      </c>
      <c r="AB27" s="6"/>
      <c r="AC27" s="6" t="s">
        <v>88</v>
      </c>
      <c r="AD27" s="6"/>
      <c r="AE27" s="14"/>
    </row>
    <row r="28" spans="1:31" ht="11.25" customHeight="1" x14ac:dyDescent="0.25">
      <c r="A28" s="167"/>
      <c r="B28" s="167"/>
      <c r="C28" s="167"/>
      <c r="D28" s="168"/>
      <c r="E28" s="167"/>
      <c r="F28" s="41"/>
      <c r="G28" s="136" t="s">
        <v>38</v>
      </c>
      <c r="H28" s="137"/>
      <c r="I28" s="138"/>
      <c r="J28" s="142" t="s">
        <v>41</v>
      </c>
      <c r="K28" s="143">
        <f>+K8/(K9)</f>
        <v>0.90909090909090906</v>
      </c>
      <c r="L28" s="41"/>
      <c r="M28" s="118">
        <v>20</v>
      </c>
      <c r="N28" s="119" t="e">
        <f t="shared" si="0"/>
        <v>#VALUE!</v>
      </c>
      <c r="O28" s="119" t="e">
        <f t="shared" si="8"/>
        <v>#VALUE!</v>
      </c>
      <c r="Q28" s="13">
        <f t="shared" si="11"/>
        <v>0</v>
      </c>
      <c r="R28" s="6">
        <f t="shared" si="1"/>
        <v>0</v>
      </c>
      <c r="S28" s="6">
        <f t="shared" si="3"/>
        <v>0</v>
      </c>
      <c r="T28" s="6"/>
      <c r="U28" s="14">
        <v>20</v>
      </c>
      <c r="V28" s="37" t="e">
        <f t="shared" si="9"/>
        <v>#VALUE!</v>
      </c>
      <c r="W28" s="6" t="e">
        <f t="shared" si="4"/>
        <v>#VALUE!</v>
      </c>
      <c r="X28" s="6" t="s">
        <v>88</v>
      </c>
      <c r="Y28" s="6">
        <f t="shared" si="5"/>
        <v>0</v>
      </c>
      <c r="Z28" s="14" t="e">
        <f t="shared" si="6"/>
        <v>#VALUE!</v>
      </c>
      <c r="AA28" s="13" t="e">
        <f t="shared" si="7"/>
        <v>#VALUE!</v>
      </c>
      <c r="AB28" s="6"/>
      <c r="AC28" s="6" t="e">
        <f>AC15/AC22</f>
        <v>#VALUE!</v>
      </c>
      <c r="AD28" s="6"/>
      <c r="AE28" s="14"/>
    </row>
    <row r="29" spans="1:31" ht="11.25" customHeight="1" x14ac:dyDescent="0.25">
      <c r="A29" s="167" t="s">
        <v>43</v>
      </c>
      <c r="B29" s="167">
        <f>(Pe0*tau*(gamma^cl))/(FACT(cl)*(1-tau)^2)</f>
        <v>0.2367424242424242</v>
      </c>
      <c r="C29" s="167"/>
      <c r="D29" s="168"/>
      <c r="E29" s="167"/>
      <c r="F29" s="41"/>
      <c r="G29" s="403" t="s">
        <v>39</v>
      </c>
      <c r="H29" s="403"/>
      <c r="I29" s="403"/>
      <c r="J29" s="144" t="s">
        <v>40</v>
      </c>
      <c r="K29" s="143">
        <f>+K8/(cl*K9)</f>
        <v>0.45454545454545453</v>
      </c>
      <c r="L29" s="41"/>
      <c r="M29" s="118">
        <v>21</v>
      </c>
      <c r="N29" s="119" t="e">
        <f t="shared" si="0"/>
        <v>#VALUE!</v>
      </c>
      <c r="O29" s="119" t="e">
        <f t="shared" si="8"/>
        <v>#VALUE!</v>
      </c>
      <c r="Q29" s="13">
        <f t="shared" si="11"/>
        <v>0</v>
      </c>
      <c r="R29" s="6">
        <f t="shared" si="1"/>
        <v>0</v>
      </c>
      <c r="S29" s="6">
        <f t="shared" si="3"/>
        <v>0</v>
      </c>
      <c r="T29" s="6"/>
      <c r="U29" s="14">
        <v>21</v>
      </c>
      <c r="V29" s="37" t="e">
        <f t="shared" si="9"/>
        <v>#VALUE!</v>
      </c>
      <c r="W29" s="6" t="e">
        <f t="shared" si="4"/>
        <v>#VALUE!</v>
      </c>
      <c r="X29" s="6" t="e">
        <f ca="1">X24/(K8*(1-(_xlfn.XLOOKUP($E$11,M8:M108,V8:V108))))</f>
        <v>#VALUE!</v>
      </c>
      <c r="Y29" s="6">
        <f t="shared" si="5"/>
        <v>0</v>
      </c>
      <c r="Z29" s="14" t="e">
        <f t="shared" si="6"/>
        <v>#VALUE!</v>
      </c>
      <c r="AA29" s="13" t="e">
        <f t="shared" si="7"/>
        <v>#VALUE!</v>
      </c>
      <c r="AB29" s="6"/>
      <c r="AC29" s="6" t="s">
        <v>91</v>
      </c>
      <c r="AD29" s="6"/>
      <c r="AE29" s="14"/>
    </row>
    <row r="30" spans="1:31" ht="11.25" customHeight="1" x14ac:dyDescent="0.25">
      <c r="A30" s="41"/>
      <c r="B30" s="41"/>
      <c r="C30" s="41"/>
      <c r="D30" s="43"/>
      <c r="E30" s="41"/>
      <c r="F30" s="41"/>
      <c r="G30" s="41"/>
      <c r="H30" s="41"/>
      <c r="I30" s="41"/>
      <c r="J30" s="44"/>
      <c r="K30" s="110"/>
      <c r="L30" s="41"/>
      <c r="M30" s="118">
        <v>22</v>
      </c>
      <c r="N30" s="119" t="e">
        <f t="shared" si="0"/>
        <v>#VALUE!</v>
      </c>
      <c r="O30" s="119" t="e">
        <f t="shared" si="8"/>
        <v>#VALUE!</v>
      </c>
      <c r="Q30" s="13">
        <f t="shared" si="11"/>
        <v>0</v>
      </c>
      <c r="R30" s="6">
        <f t="shared" si="1"/>
        <v>0</v>
      </c>
      <c r="S30" s="6">
        <f t="shared" si="3"/>
        <v>0</v>
      </c>
      <c r="T30" s="6"/>
      <c r="U30" s="14">
        <v>22</v>
      </c>
      <c r="V30" s="37" t="e">
        <f t="shared" si="9"/>
        <v>#VALUE!</v>
      </c>
      <c r="W30" s="6" t="e">
        <f t="shared" si="4"/>
        <v>#VALUE!</v>
      </c>
      <c r="X30" s="6" t="s">
        <v>91</v>
      </c>
      <c r="Y30" s="6">
        <f t="shared" si="5"/>
        <v>0</v>
      </c>
      <c r="Z30" s="14" t="e">
        <f t="shared" si="6"/>
        <v>#VALUE!</v>
      </c>
      <c r="AA30" s="13" t="e">
        <f t="shared" si="7"/>
        <v>#VALUE!</v>
      </c>
      <c r="AB30" s="6"/>
      <c r="AC30" s="6" t="e">
        <f>AC19/AC22</f>
        <v>#VALUE!</v>
      </c>
      <c r="AD30" s="6"/>
      <c r="AE30" s="14"/>
    </row>
    <row r="31" spans="1:31" ht="11.25" customHeight="1" x14ac:dyDescent="0.25">
      <c r="A31" s="41"/>
      <c r="B31" s="41"/>
      <c r="C31" s="41"/>
      <c r="D31" s="43"/>
      <c r="E31" s="41"/>
      <c r="F31" s="41"/>
      <c r="G31" s="41"/>
      <c r="H31" s="41"/>
      <c r="I31" s="41"/>
      <c r="J31" s="44"/>
      <c r="K31" s="110"/>
      <c r="L31" s="41"/>
      <c r="M31" s="118">
        <v>23</v>
      </c>
      <c r="N31" s="119" t="e">
        <f t="shared" si="0"/>
        <v>#VALUE!</v>
      </c>
      <c r="O31" s="119" t="e">
        <f t="shared" si="8"/>
        <v>#VALUE!</v>
      </c>
      <c r="Q31" s="13">
        <f t="shared" si="11"/>
        <v>0</v>
      </c>
      <c r="R31" s="6">
        <f t="shared" si="1"/>
        <v>0</v>
      </c>
      <c r="S31" s="6">
        <f t="shared" si="3"/>
        <v>0</v>
      </c>
      <c r="T31" s="6"/>
      <c r="U31" s="14">
        <v>23</v>
      </c>
      <c r="V31" s="37" t="e">
        <f t="shared" si="9"/>
        <v>#VALUE!</v>
      </c>
      <c r="W31" s="6" t="e">
        <f t="shared" si="4"/>
        <v>#VALUE!</v>
      </c>
      <c r="X31" s="6" t="e">
        <f>X21/(K8*(1-(_xlfn.XLOOKUP($E$11,M8:M108,V8:V108))))</f>
        <v>#VALUE!</v>
      </c>
      <c r="Y31" s="6">
        <f t="shared" si="5"/>
        <v>0</v>
      </c>
      <c r="Z31" s="14" t="e">
        <f t="shared" si="6"/>
        <v>#VALUE!</v>
      </c>
      <c r="AA31" s="13" t="e">
        <f t="shared" si="7"/>
        <v>#VALUE!</v>
      </c>
      <c r="AB31" s="6"/>
      <c r="AC31" s="6"/>
      <c r="AD31" s="6"/>
      <c r="AE31" s="14"/>
    </row>
    <row r="32" spans="1:31" ht="11.25" customHeight="1" x14ac:dyDescent="0.25">
      <c r="A32" s="41"/>
      <c r="B32" s="41"/>
      <c r="C32" s="41"/>
      <c r="D32" s="43"/>
      <c r="E32" s="41"/>
      <c r="F32" s="41"/>
      <c r="G32" s="41"/>
      <c r="H32" s="41"/>
      <c r="I32" s="41"/>
      <c r="J32" s="44"/>
      <c r="K32" s="110"/>
      <c r="L32" s="41"/>
      <c r="M32" s="118">
        <v>24</v>
      </c>
      <c r="N32" s="119" t="e">
        <f t="shared" si="0"/>
        <v>#VALUE!</v>
      </c>
      <c r="O32" s="119" t="e">
        <f t="shared" si="8"/>
        <v>#VALUE!</v>
      </c>
      <c r="Q32" s="13">
        <f t="shared" si="11"/>
        <v>0</v>
      </c>
      <c r="R32" s="6">
        <f t="shared" si="1"/>
        <v>0</v>
      </c>
      <c r="S32" s="6">
        <f t="shared" si="3"/>
        <v>0</v>
      </c>
      <c r="T32" s="6"/>
      <c r="U32" s="14">
        <v>24</v>
      </c>
      <c r="V32" s="37" t="e">
        <f t="shared" si="9"/>
        <v>#VALUE!</v>
      </c>
      <c r="W32" s="6" t="e">
        <f t="shared" si="4"/>
        <v>#VALUE!</v>
      </c>
      <c r="X32" s="6"/>
      <c r="Y32" s="6">
        <f t="shared" si="5"/>
        <v>0</v>
      </c>
      <c r="Z32" s="14" t="e">
        <f t="shared" si="6"/>
        <v>#VALUE!</v>
      </c>
      <c r="AA32" s="13" t="e">
        <f t="shared" si="7"/>
        <v>#VALUE!</v>
      </c>
      <c r="AB32" s="6"/>
      <c r="AC32" s="6"/>
      <c r="AD32" s="6"/>
      <c r="AE32" s="14"/>
    </row>
    <row r="33" spans="1:31" ht="11.25" customHeight="1" x14ac:dyDescent="0.25">
      <c r="A33" s="404"/>
      <c r="B33" s="404"/>
      <c r="C33" s="404"/>
      <c r="D33" s="404"/>
      <c r="E33" s="404"/>
      <c r="F33" s="404"/>
      <c r="G33" s="404"/>
      <c r="H33" s="404"/>
      <c r="I33" s="404"/>
      <c r="J33" s="404"/>
      <c r="K33" s="404"/>
      <c r="L33" s="41"/>
      <c r="M33" s="118">
        <v>25</v>
      </c>
      <c r="N33" s="119" t="e">
        <f t="shared" si="0"/>
        <v>#VALUE!</v>
      </c>
      <c r="O33" s="119" t="e">
        <f t="shared" si="8"/>
        <v>#VALUE!</v>
      </c>
      <c r="Q33" s="13">
        <f t="shared" si="11"/>
        <v>0</v>
      </c>
      <c r="R33" s="6">
        <f t="shared" si="1"/>
        <v>0</v>
      </c>
      <c r="S33" s="6">
        <f t="shared" si="3"/>
        <v>0</v>
      </c>
      <c r="T33" s="6"/>
      <c r="U33" s="14"/>
      <c r="V33" s="37" t="e">
        <f t="shared" si="9"/>
        <v>#VALUE!</v>
      </c>
      <c r="W33" s="6" t="e">
        <f t="shared" si="4"/>
        <v>#VALUE!</v>
      </c>
      <c r="X33" s="6" t="s">
        <v>89</v>
      </c>
      <c r="Y33" s="6">
        <f t="shared" si="5"/>
        <v>0</v>
      </c>
      <c r="Z33" s="14" t="e">
        <f t="shared" si="6"/>
        <v>#VALUE!</v>
      </c>
      <c r="AA33" s="13" t="e">
        <f t="shared" si="7"/>
        <v>#VALUE!</v>
      </c>
      <c r="AB33" s="6"/>
      <c r="AC33" s="6"/>
      <c r="AD33" s="6"/>
      <c r="AE33" s="14"/>
    </row>
    <row r="34" spans="1:31" ht="11.25" customHeight="1" x14ac:dyDescent="0.25">
      <c r="A34" s="41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41"/>
      <c r="M34" s="118">
        <v>26</v>
      </c>
      <c r="N34" s="119" t="e">
        <f t="shared" si="0"/>
        <v>#VALUE!</v>
      </c>
      <c r="O34" s="119" t="e">
        <f t="shared" si="8"/>
        <v>#VALUE!</v>
      </c>
      <c r="Q34" s="13">
        <f t="shared" si="11"/>
        <v>0</v>
      </c>
      <c r="R34" s="6">
        <f t="shared" si="1"/>
        <v>0</v>
      </c>
      <c r="S34" s="6">
        <f t="shared" si="3"/>
        <v>0</v>
      </c>
      <c r="T34" s="6"/>
      <c r="U34" s="14"/>
      <c r="V34" s="37" t="e">
        <f t="shared" si="9"/>
        <v>#VALUE!</v>
      </c>
      <c r="W34" s="6" t="e">
        <f t="shared" si="4"/>
        <v>#VALUE!</v>
      </c>
      <c r="X34" s="6" t="e">
        <f>K8*(1-peka2)</f>
        <v>#VALUE!</v>
      </c>
      <c r="Y34" s="6">
        <f t="shared" si="5"/>
        <v>0</v>
      </c>
      <c r="Z34" s="14" t="e">
        <f t="shared" si="6"/>
        <v>#VALUE!</v>
      </c>
      <c r="AA34" s="13" t="e">
        <f t="shared" si="7"/>
        <v>#VALUE!</v>
      </c>
      <c r="AB34" s="6"/>
      <c r="AC34" s="6"/>
      <c r="AD34" s="6"/>
      <c r="AE34" s="14"/>
    </row>
    <row r="35" spans="1:31" ht="11.25" customHeight="1" x14ac:dyDescent="0.25">
      <c r="A35" s="41"/>
      <c r="B35" s="41"/>
      <c r="C35" s="155"/>
      <c r="D35" s="156"/>
      <c r="E35" s="156"/>
      <c r="F35" s="41"/>
      <c r="G35" s="111"/>
      <c r="H35" s="111"/>
      <c r="I35" s="111"/>
      <c r="J35" s="111"/>
      <c r="K35" s="111"/>
      <c r="L35" s="41"/>
      <c r="M35" s="118">
        <v>27</v>
      </c>
      <c r="N35" s="119" t="e">
        <f t="shared" si="0"/>
        <v>#VALUE!</v>
      </c>
      <c r="O35" s="119" t="e">
        <f t="shared" si="8"/>
        <v>#VALUE!</v>
      </c>
      <c r="Q35" s="13">
        <f t="shared" si="11"/>
        <v>0</v>
      </c>
      <c r="R35" s="6">
        <f t="shared" si="1"/>
        <v>0</v>
      </c>
      <c r="S35" s="6">
        <f t="shared" si="3"/>
        <v>0</v>
      </c>
      <c r="T35" s="6"/>
      <c r="U35" s="14"/>
      <c r="V35" s="37" t="e">
        <f t="shared" si="9"/>
        <v>#VALUE!</v>
      </c>
      <c r="W35" s="6" t="e">
        <f t="shared" si="4"/>
        <v>#VALUE!</v>
      </c>
      <c r="X35" s="6" t="s">
        <v>100</v>
      </c>
      <c r="Y35" s="6">
        <f t="shared" si="5"/>
        <v>0</v>
      </c>
      <c r="Z35" s="14" t="e">
        <f t="shared" si="6"/>
        <v>#VALUE!</v>
      </c>
      <c r="AA35" s="13" t="e">
        <f t="shared" si="7"/>
        <v>#VALUE!</v>
      </c>
      <c r="AB35" s="6"/>
      <c r="AC35" s="6"/>
      <c r="AD35" s="6"/>
      <c r="AE35" s="14"/>
    </row>
    <row r="36" spans="1:31" ht="11.25" customHeight="1" x14ac:dyDescent="0.25">
      <c r="A36" s="41"/>
      <c r="B36" s="41"/>
      <c r="C36" s="155"/>
      <c r="D36" s="156"/>
      <c r="E36" s="156"/>
      <c r="F36" s="41"/>
      <c r="G36" s="111"/>
      <c r="H36" s="111"/>
      <c r="I36" s="111"/>
      <c r="J36" s="111"/>
      <c r="K36" s="111"/>
      <c r="L36" s="41"/>
      <c r="M36" s="118">
        <v>28</v>
      </c>
      <c r="N36" s="119" t="e">
        <f t="shared" si="0"/>
        <v>#VALUE!</v>
      </c>
      <c r="O36" s="119" t="e">
        <f t="shared" si="8"/>
        <v>#VALUE!</v>
      </c>
      <c r="Q36" s="13">
        <f t="shared" si="11"/>
        <v>0</v>
      </c>
      <c r="R36" s="6">
        <f t="shared" si="1"/>
        <v>0</v>
      </c>
      <c r="S36" s="6">
        <f t="shared" si="3"/>
        <v>0</v>
      </c>
      <c r="T36" s="6"/>
      <c r="U36" s="14"/>
      <c r="V36" s="37" t="e">
        <f t="shared" si="9"/>
        <v>#VALUE!</v>
      </c>
      <c r="W36" s="6" t="e">
        <f t="shared" si="4"/>
        <v>#VALUE!</v>
      </c>
      <c r="X36" s="6" t="e">
        <f>_xlfn.XLOOKUP($E$11,M8:M108,W8:W108)</f>
        <v>#VALUE!</v>
      </c>
      <c r="Y36" s="6">
        <f t="shared" si="5"/>
        <v>0</v>
      </c>
      <c r="Z36" s="14" t="e">
        <f t="shared" si="6"/>
        <v>#VALUE!</v>
      </c>
      <c r="AA36" s="13" t="e">
        <f t="shared" si="7"/>
        <v>#VALUE!</v>
      </c>
      <c r="AB36" s="6"/>
      <c r="AC36" s="6"/>
      <c r="AD36" s="6"/>
      <c r="AE36" s="14"/>
    </row>
    <row r="37" spans="1:31" ht="11.25" customHeight="1" x14ac:dyDescent="0.25">
      <c r="A37" s="41"/>
      <c r="B37" s="41"/>
      <c r="C37" s="155"/>
      <c r="D37" s="156"/>
      <c r="E37" s="156"/>
      <c r="F37" s="41"/>
      <c r="G37" s="111"/>
      <c r="H37" s="111"/>
      <c r="I37" s="111"/>
      <c r="J37" s="111"/>
      <c r="K37" s="111"/>
      <c r="L37" s="41"/>
      <c r="M37" s="118">
        <v>29</v>
      </c>
      <c r="N37" s="119" t="e">
        <f t="shared" si="0"/>
        <v>#VALUE!</v>
      </c>
      <c r="O37" s="119" t="e">
        <f t="shared" si="8"/>
        <v>#VALUE!</v>
      </c>
      <c r="Q37" s="13">
        <f t="shared" si="11"/>
        <v>0</v>
      </c>
      <c r="R37" s="6">
        <f t="shared" si="1"/>
        <v>0</v>
      </c>
      <c r="S37" s="6">
        <f t="shared" si="3"/>
        <v>0</v>
      </c>
      <c r="T37" s="6"/>
      <c r="U37" s="14"/>
      <c r="V37" s="37" t="e">
        <f t="shared" si="9"/>
        <v>#VALUE!</v>
      </c>
      <c r="W37" s="6" t="e">
        <f t="shared" si="4"/>
        <v>#VALUE!</v>
      </c>
      <c r="X37" s="6"/>
      <c r="Y37" s="6">
        <f t="shared" si="5"/>
        <v>0</v>
      </c>
      <c r="Z37" s="14" t="e">
        <f t="shared" si="6"/>
        <v>#VALUE!</v>
      </c>
      <c r="AA37" s="13" t="e">
        <f t="shared" si="7"/>
        <v>#VALUE!</v>
      </c>
      <c r="AB37" s="6"/>
      <c r="AC37" s="6"/>
      <c r="AD37" s="6"/>
      <c r="AE37" s="14"/>
    </row>
    <row r="38" spans="1:31" ht="11.25" customHeight="1" x14ac:dyDescent="0.25">
      <c r="A38" s="41"/>
      <c r="B38" s="41"/>
      <c r="C38" s="155"/>
      <c r="D38" s="156"/>
      <c r="E38" s="156"/>
      <c r="F38" s="41"/>
      <c r="G38" s="111"/>
      <c r="H38" s="111"/>
      <c r="I38" s="111"/>
      <c r="J38" s="111"/>
      <c r="K38" s="111"/>
      <c r="L38" s="41"/>
      <c r="M38" s="118">
        <v>30</v>
      </c>
      <c r="N38" s="119" t="e">
        <f t="shared" si="0"/>
        <v>#VALUE!</v>
      </c>
      <c r="O38" s="119" t="e">
        <f t="shared" si="8"/>
        <v>#VALUE!</v>
      </c>
      <c r="Q38" s="13">
        <f t="shared" si="11"/>
        <v>0</v>
      </c>
      <c r="R38" s="6">
        <f t="shared" si="1"/>
        <v>0</v>
      </c>
      <c r="S38" s="6">
        <f t="shared" si="3"/>
        <v>0</v>
      </c>
      <c r="T38" s="6"/>
      <c r="U38" s="14"/>
      <c r="V38" s="37" t="e">
        <f t="shared" si="9"/>
        <v>#VALUE!</v>
      </c>
      <c r="W38" s="6" t="e">
        <f t="shared" si="4"/>
        <v>#VALUE!</v>
      </c>
      <c r="X38" s="6"/>
      <c r="Y38" s="6">
        <f t="shared" si="5"/>
        <v>0</v>
      </c>
      <c r="Z38" s="14" t="e">
        <f t="shared" si="6"/>
        <v>#VALUE!</v>
      </c>
      <c r="AA38" s="13" t="e">
        <f t="shared" si="7"/>
        <v>#VALUE!</v>
      </c>
      <c r="AB38" s="6"/>
      <c r="AC38" s="6"/>
      <c r="AD38" s="6"/>
      <c r="AE38" s="14"/>
    </row>
    <row r="39" spans="1:31" ht="11.25" customHeight="1" x14ac:dyDescent="0.25">
      <c r="A39" s="41"/>
      <c r="B39" s="41"/>
      <c r="C39" s="155"/>
      <c r="D39" s="156"/>
      <c r="E39" s="156"/>
      <c r="F39" s="41"/>
      <c r="G39" s="111"/>
      <c r="H39" s="111"/>
      <c r="I39" s="111"/>
      <c r="J39" s="111"/>
      <c r="K39" s="111"/>
      <c r="L39" s="41"/>
      <c r="M39" s="118">
        <v>31</v>
      </c>
      <c r="N39" s="119" t="e">
        <f t="shared" si="0"/>
        <v>#VALUE!</v>
      </c>
      <c r="O39" s="119" t="e">
        <f t="shared" si="8"/>
        <v>#VALUE!</v>
      </c>
      <c r="Q39" s="13">
        <f t="shared" si="11"/>
        <v>0</v>
      </c>
      <c r="R39" s="6">
        <f t="shared" si="1"/>
        <v>0</v>
      </c>
      <c r="S39" s="6">
        <f t="shared" si="3"/>
        <v>0</v>
      </c>
      <c r="T39" s="6"/>
      <c r="U39" s="14"/>
      <c r="V39" s="37" t="e">
        <f t="shared" si="9"/>
        <v>#VALUE!</v>
      </c>
      <c r="W39" s="6" t="e">
        <f t="shared" si="4"/>
        <v>#VALUE!</v>
      </c>
      <c r="X39" s="6"/>
      <c r="Y39" s="6">
        <f t="shared" si="5"/>
        <v>0</v>
      </c>
      <c r="Z39" s="14" t="e">
        <f t="shared" si="6"/>
        <v>#VALUE!</v>
      </c>
      <c r="AA39" s="13" t="e">
        <f t="shared" si="7"/>
        <v>#VALUE!</v>
      </c>
      <c r="AB39" s="6"/>
      <c r="AC39" s="6"/>
      <c r="AD39" s="6"/>
      <c r="AE39" s="14"/>
    </row>
    <row r="40" spans="1:31" ht="11.25" customHeight="1" x14ac:dyDescent="0.25">
      <c r="A40" s="41"/>
      <c r="B40" s="41"/>
      <c r="C40" s="155"/>
      <c r="D40" s="156"/>
      <c r="E40" s="156"/>
      <c r="F40" s="41"/>
      <c r="G40" s="111"/>
      <c r="H40" s="111"/>
      <c r="I40" s="111"/>
      <c r="J40" s="111"/>
      <c r="K40" s="111"/>
      <c r="L40" s="41"/>
      <c r="M40" s="118">
        <v>32</v>
      </c>
      <c r="N40" s="119" t="e">
        <f t="shared" ref="N40:N71" si="12">IF($E$8&gt;1,V40,AA40)</f>
        <v>#VALUE!</v>
      </c>
      <c r="O40" s="119" t="e">
        <f t="shared" si="8"/>
        <v>#VALUE!</v>
      </c>
      <c r="Q40" s="13">
        <f t="shared" si="11"/>
        <v>0</v>
      </c>
      <c r="R40" s="6">
        <f t="shared" ref="R40:R71" si="13">IF($M40&lt;cl,((gamma)^($M40))/(FACT($M40)),0)</f>
        <v>0</v>
      </c>
      <c r="S40" s="6">
        <f t="shared" si="3"/>
        <v>0</v>
      </c>
      <c r="T40" s="6"/>
      <c r="U40" s="14"/>
      <c r="V40" s="37" t="e">
        <f t="shared" si="9"/>
        <v>#VALUE!</v>
      </c>
      <c r="W40" s="6" t="e">
        <f t="shared" si="4"/>
        <v>#VALUE!</v>
      </c>
      <c r="X40" s="6"/>
      <c r="Y40" s="6">
        <f t="shared" si="5"/>
        <v>0</v>
      </c>
      <c r="Z40" s="14" t="e">
        <f t="shared" si="6"/>
        <v>#VALUE!</v>
      </c>
      <c r="AA40" s="13" t="e">
        <f t="shared" si="7"/>
        <v>#VALUE!</v>
      </c>
      <c r="AB40" s="6"/>
      <c r="AC40" s="6"/>
      <c r="AD40" s="6"/>
      <c r="AE40" s="14"/>
    </row>
    <row r="41" spans="1:31" ht="11.25" customHeight="1" x14ac:dyDescent="0.25">
      <c r="A41" s="41"/>
      <c r="B41" s="41"/>
      <c r="C41" s="155"/>
      <c r="D41" s="156"/>
      <c r="E41" s="156"/>
      <c r="F41" s="41"/>
      <c r="G41" s="111"/>
      <c r="H41" s="111"/>
      <c r="I41" s="111"/>
      <c r="J41" s="111"/>
      <c r="K41" s="111"/>
      <c r="L41" s="41"/>
      <c r="M41" s="118">
        <v>33</v>
      </c>
      <c r="N41" s="119" t="e">
        <f t="shared" si="12"/>
        <v>#VALUE!</v>
      </c>
      <c r="O41" s="119" t="e">
        <f t="shared" si="8"/>
        <v>#VALUE!</v>
      </c>
      <c r="Q41" s="13">
        <f t="shared" ref="Q41:Q72" si="14">IF($M41&lt;=cl,$Q40*gamma/cl,IF(AND(cl&lt;$M41,$M41&lt;=esp),$Q40*gamma/cl,0))</f>
        <v>0</v>
      </c>
      <c r="R41" s="6">
        <f t="shared" si="13"/>
        <v>0</v>
      </c>
      <c r="S41" s="6">
        <f t="shared" ref="S41:S72" si="15">IF(cl&gt;1,IF($M41&lt;cl,(((cl-M41)/cl)*$V41),0),IF($M41&lt;cl,(((cl-M41)/cl)*AA41),0))</f>
        <v>0</v>
      </c>
      <c r="T41" s="6"/>
      <c r="U41" s="14"/>
      <c r="V41" s="37" t="e">
        <f t="shared" si="9"/>
        <v>#VALUE!</v>
      </c>
      <c r="W41" s="6" t="e">
        <f t="shared" si="4"/>
        <v>#VALUE!</v>
      </c>
      <c r="X41" s="6"/>
      <c r="Y41" s="6">
        <f t="shared" si="5"/>
        <v>0</v>
      </c>
      <c r="Z41" s="14" t="e">
        <f t="shared" si="6"/>
        <v>#VALUE!</v>
      </c>
      <c r="AA41" s="13" t="e">
        <f t="shared" ref="AA41:AA72" si="16">IF(M41&lt;=$E$11,$AC$9*(($K$28)^(M41)),0)</f>
        <v>#VALUE!</v>
      </c>
      <c r="AB41" s="6"/>
      <c r="AC41" s="6"/>
      <c r="AD41" s="6"/>
      <c r="AE41" s="14"/>
    </row>
    <row r="42" spans="1:31" ht="11.25" customHeight="1" x14ac:dyDescent="0.25">
      <c r="A42" s="41"/>
      <c r="B42" s="41"/>
      <c r="C42" s="41"/>
      <c r="D42" s="43"/>
      <c r="E42" s="41"/>
      <c r="F42" s="41"/>
      <c r="G42" s="41"/>
      <c r="H42" s="41"/>
      <c r="I42" s="41"/>
      <c r="J42" s="44"/>
      <c r="K42" s="110"/>
      <c r="L42" s="41"/>
      <c r="M42" s="118">
        <v>34</v>
      </c>
      <c r="N42" s="119" t="e">
        <f t="shared" si="12"/>
        <v>#VALUE!</v>
      </c>
      <c r="O42" s="119" t="e">
        <f t="shared" si="8"/>
        <v>#VALUE!</v>
      </c>
      <c r="Q42" s="13">
        <f t="shared" si="14"/>
        <v>0</v>
      </c>
      <c r="R42" s="6">
        <f t="shared" si="13"/>
        <v>0</v>
      </c>
      <c r="S42" s="6">
        <f t="shared" si="15"/>
        <v>0</v>
      </c>
      <c r="T42" s="6"/>
      <c r="U42" s="14"/>
      <c r="V42" s="37" t="e">
        <f t="shared" si="9"/>
        <v>#VALUE!</v>
      </c>
      <c r="W42" s="6" t="e">
        <f t="shared" si="4"/>
        <v>#VALUE!</v>
      </c>
      <c r="X42" s="6"/>
      <c r="Y42" s="6">
        <f t="shared" si="5"/>
        <v>0</v>
      </c>
      <c r="Z42" s="14" t="e">
        <f t="shared" si="6"/>
        <v>#VALUE!</v>
      </c>
      <c r="AA42" s="13" t="e">
        <f t="shared" si="16"/>
        <v>#VALUE!</v>
      </c>
      <c r="AB42" s="6"/>
      <c r="AC42" s="6"/>
      <c r="AD42" s="6"/>
      <c r="AE42" s="14"/>
    </row>
    <row r="43" spans="1:31" ht="11.25" customHeight="1" x14ac:dyDescent="0.25">
      <c r="A43" s="41"/>
      <c r="B43" s="41"/>
      <c r="C43" s="41"/>
      <c r="D43" s="43"/>
      <c r="E43" s="41"/>
      <c r="F43" s="41"/>
      <c r="G43" s="41"/>
      <c r="H43" s="41"/>
      <c r="I43" s="41"/>
      <c r="J43" s="44"/>
      <c r="K43" s="110"/>
      <c r="L43" s="41"/>
      <c r="M43" s="118">
        <v>35</v>
      </c>
      <c r="N43" s="119" t="e">
        <f t="shared" si="12"/>
        <v>#VALUE!</v>
      </c>
      <c r="O43" s="119" t="e">
        <f t="shared" si="8"/>
        <v>#VALUE!</v>
      </c>
      <c r="Q43" s="13">
        <f t="shared" si="14"/>
        <v>0</v>
      </c>
      <c r="R43" s="6">
        <f t="shared" si="13"/>
        <v>0</v>
      </c>
      <c r="S43" s="6">
        <f t="shared" si="15"/>
        <v>0</v>
      </c>
      <c r="T43" s="6"/>
      <c r="U43" s="14"/>
      <c r="V43" s="37" t="e">
        <f t="shared" si="9"/>
        <v>#VALUE!</v>
      </c>
      <c r="W43" s="6" t="e">
        <f t="shared" si="4"/>
        <v>#VALUE!</v>
      </c>
      <c r="X43" s="6"/>
      <c r="Y43" s="6">
        <f t="shared" si="5"/>
        <v>0</v>
      </c>
      <c r="Z43" s="14" t="e">
        <f t="shared" si="6"/>
        <v>#VALUE!</v>
      </c>
      <c r="AA43" s="13" t="e">
        <f t="shared" si="16"/>
        <v>#VALUE!</v>
      </c>
      <c r="AB43" s="6"/>
      <c r="AC43" s="6"/>
      <c r="AD43" s="6"/>
      <c r="AE43" s="14"/>
    </row>
    <row r="44" spans="1:31" ht="11.25" customHeight="1" x14ac:dyDescent="0.25">
      <c r="A44" s="41"/>
      <c r="B44" s="41"/>
      <c r="C44" s="41"/>
      <c r="D44" s="43"/>
      <c r="E44" s="41"/>
      <c r="F44" s="41"/>
      <c r="G44" s="41"/>
      <c r="H44" s="41"/>
      <c r="I44" s="41"/>
      <c r="J44" s="44"/>
      <c r="K44" s="110"/>
      <c r="L44" s="41"/>
      <c r="M44" s="118">
        <v>36</v>
      </c>
      <c r="N44" s="119" t="e">
        <f t="shared" si="12"/>
        <v>#VALUE!</v>
      </c>
      <c r="O44" s="119" t="e">
        <f t="shared" si="8"/>
        <v>#VALUE!</v>
      </c>
      <c r="Q44" s="13">
        <f t="shared" si="14"/>
        <v>0</v>
      </c>
      <c r="R44" s="6">
        <f t="shared" si="13"/>
        <v>0</v>
      </c>
      <c r="S44" s="6">
        <f t="shared" si="15"/>
        <v>0</v>
      </c>
      <c r="T44" s="6"/>
      <c r="U44" s="14"/>
      <c r="V44" s="37" t="e">
        <f t="shared" si="9"/>
        <v>#VALUE!</v>
      </c>
      <c r="W44" s="6" t="e">
        <f t="shared" si="4"/>
        <v>#VALUE!</v>
      </c>
      <c r="X44" s="6"/>
      <c r="Y44" s="6">
        <f t="shared" si="5"/>
        <v>0</v>
      </c>
      <c r="Z44" s="14" t="e">
        <f t="shared" si="6"/>
        <v>#VALUE!</v>
      </c>
      <c r="AA44" s="13" t="e">
        <f t="shared" si="16"/>
        <v>#VALUE!</v>
      </c>
      <c r="AB44" s="6"/>
      <c r="AC44" s="6"/>
      <c r="AD44" s="6"/>
      <c r="AE44" s="14"/>
    </row>
    <row r="45" spans="1:31" ht="11.25" customHeight="1" x14ac:dyDescent="0.25">
      <c r="A45" s="41"/>
      <c r="B45" s="41"/>
      <c r="C45" s="41"/>
      <c r="D45" s="43"/>
      <c r="E45" s="41"/>
      <c r="F45" s="41"/>
      <c r="G45" s="41"/>
      <c r="H45" s="41"/>
      <c r="I45" s="41"/>
      <c r="J45" s="44"/>
      <c r="K45" s="110"/>
      <c r="L45" s="41"/>
      <c r="M45" s="118">
        <v>37</v>
      </c>
      <c r="N45" s="119" t="e">
        <f t="shared" si="12"/>
        <v>#VALUE!</v>
      </c>
      <c r="O45" s="119" t="e">
        <f t="shared" si="8"/>
        <v>#VALUE!</v>
      </c>
      <c r="Q45" s="13">
        <f t="shared" si="14"/>
        <v>0</v>
      </c>
      <c r="R45" s="6">
        <f t="shared" si="13"/>
        <v>0</v>
      </c>
      <c r="S45" s="6">
        <f t="shared" si="15"/>
        <v>0</v>
      </c>
      <c r="T45" s="6"/>
      <c r="U45" s="14"/>
      <c r="V45" s="37" t="e">
        <f t="shared" si="9"/>
        <v>#VALUE!</v>
      </c>
      <c r="W45" s="6" t="e">
        <f t="shared" si="4"/>
        <v>#VALUE!</v>
      </c>
      <c r="X45" s="6"/>
      <c r="Y45" s="6">
        <f t="shared" si="5"/>
        <v>0</v>
      </c>
      <c r="Z45" s="14" t="e">
        <f t="shared" si="6"/>
        <v>#VALUE!</v>
      </c>
      <c r="AA45" s="13" t="e">
        <f t="shared" si="16"/>
        <v>#VALUE!</v>
      </c>
      <c r="AB45" s="6"/>
      <c r="AC45" s="6"/>
      <c r="AD45" s="6"/>
      <c r="AE45" s="14"/>
    </row>
    <row r="46" spans="1:31" ht="11.25" customHeight="1" x14ac:dyDescent="0.25">
      <c r="A46" s="41"/>
      <c r="B46" s="41"/>
      <c r="C46" s="41"/>
      <c r="D46" s="43"/>
      <c r="E46" s="41"/>
      <c r="F46" s="41"/>
      <c r="G46" s="41"/>
      <c r="H46" s="41"/>
      <c r="I46" s="41"/>
      <c r="J46" s="44"/>
      <c r="K46" s="110"/>
      <c r="L46" s="41"/>
      <c r="M46" s="118">
        <v>38</v>
      </c>
      <c r="N46" s="119" t="e">
        <f t="shared" si="12"/>
        <v>#VALUE!</v>
      </c>
      <c r="O46" s="119" t="e">
        <f t="shared" si="8"/>
        <v>#VALUE!</v>
      </c>
      <c r="Q46" s="13">
        <f t="shared" si="14"/>
        <v>0</v>
      </c>
      <c r="R46" s="6">
        <f t="shared" si="13"/>
        <v>0</v>
      </c>
      <c r="S46" s="6">
        <f t="shared" si="15"/>
        <v>0</v>
      </c>
      <c r="T46" s="6"/>
      <c r="U46" s="14"/>
      <c r="V46" s="37" t="e">
        <f t="shared" si="9"/>
        <v>#VALUE!</v>
      </c>
      <c r="W46" s="6" t="e">
        <f t="shared" si="4"/>
        <v>#VALUE!</v>
      </c>
      <c r="X46" s="6"/>
      <c r="Y46" s="6">
        <f t="shared" si="5"/>
        <v>0</v>
      </c>
      <c r="Z46" s="14" t="e">
        <f t="shared" si="6"/>
        <v>#VALUE!</v>
      </c>
      <c r="AA46" s="13" t="e">
        <f t="shared" si="16"/>
        <v>#VALUE!</v>
      </c>
      <c r="AB46" s="6"/>
      <c r="AC46" s="6"/>
      <c r="AD46" s="6"/>
      <c r="AE46" s="14"/>
    </row>
    <row r="47" spans="1:31" ht="11.25" customHeight="1" x14ac:dyDescent="0.25">
      <c r="A47" s="41"/>
      <c r="B47" s="41"/>
      <c r="C47" s="41"/>
      <c r="D47" s="43"/>
      <c r="E47" s="41"/>
      <c r="F47" s="41"/>
      <c r="G47" s="41"/>
      <c r="H47" s="41"/>
      <c r="I47" s="41"/>
      <c r="J47" s="44"/>
      <c r="K47" s="110"/>
      <c r="L47" s="41"/>
      <c r="M47" s="118">
        <v>39</v>
      </c>
      <c r="N47" s="119" t="e">
        <f t="shared" si="12"/>
        <v>#VALUE!</v>
      </c>
      <c r="O47" s="119" t="e">
        <f t="shared" si="8"/>
        <v>#VALUE!</v>
      </c>
      <c r="Q47" s="13">
        <f t="shared" si="14"/>
        <v>0</v>
      </c>
      <c r="R47" s="6">
        <f t="shared" si="13"/>
        <v>0</v>
      </c>
      <c r="S47" s="6">
        <f t="shared" si="15"/>
        <v>0</v>
      </c>
      <c r="T47" s="6"/>
      <c r="U47" s="14"/>
      <c r="V47" s="37" t="e">
        <f t="shared" si="9"/>
        <v>#VALUE!</v>
      </c>
      <c r="W47" s="6" t="e">
        <f t="shared" si="4"/>
        <v>#VALUE!</v>
      </c>
      <c r="X47" s="6"/>
      <c r="Y47" s="6">
        <f t="shared" si="5"/>
        <v>0</v>
      </c>
      <c r="Z47" s="14" t="e">
        <f t="shared" si="6"/>
        <v>#VALUE!</v>
      </c>
      <c r="AA47" s="13" t="e">
        <f t="shared" si="16"/>
        <v>#VALUE!</v>
      </c>
      <c r="AB47" s="6"/>
      <c r="AC47" s="6"/>
      <c r="AD47" s="6"/>
      <c r="AE47" s="14"/>
    </row>
    <row r="48" spans="1:31" ht="11.25" customHeight="1" x14ac:dyDescent="0.25">
      <c r="A48" s="41"/>
      <c r="B48" s="41"/>
      <c r="C48" s="41"/>
      <c r="D48" s="43"/>
      <c r="E48" s="41"/>
      <c r="F48" s="41"/>
      <c r="G48" s="41"/>
      <c r="H48" s="41"/>
      <c r="I48" s="41"/>
      <c r="J48" s="44"/>
      <c r="K48" s="110"/>
      <c r="L48" s="41"/>
      <c r="M48" s="118">
        <v>40</v>
      </c>
      <c r="N48" s="119" t="e">
        <f t="shared" si="12"/>
        <v>#VALUE!</v>
      </c>
      <c r="O48" s="119" t="e">
        <f t="shared" si="8"/>
        <v>#VALUE!</v>
      </c>
      <c r="Q48" s="13">
        <f t="shared" si="14"/>
        <v>0</v>
      </c>
      <c r="R48" s="6">
        <f t="shared" si="13"/>
        <v>0</v>
      </c>
      <c r="S48" s="6">
        <f t="shared" si="15"/>
        <v>0</v>
      </c>
      <c r="T48" s="6"/>
      <c r="U48" s="14"/>
      <c r="V48" s="37" t="e">
        <f t="shared" si="9"/>
        <v>#VALUE!</v>
      </c>
      <c r="W48" s="6" t="e">
        <f t="shared" si="4"/>
        <v>#VALUE!</v>
      </c>
      <c r="X48" s="6"/>
      <c r="Y48" s="6">
        <f t="shared" si="5"/>
        <v>0</v>
      </c>
      <c r="Z48" s="14" t="e">
        <f t="shared" si="6"/>
        <v>#VALUE!</v>
      </c>
      <c r="AA48" s="13" t="e">
        <f t="shared" si="16"/>
        <v>#VALUE!</v>
      </c>
      <c r="AB48" s="6"/>
      <c r="AC48" s="6"/>
      <c r="AD48" s="6"/>
      <c r="AE48" s="14"/>
    </row>
    <row r="49" spans="1:31" ht="11.25" customHeight="1" x14ac:dyDescent="0.25">
      <c r="A49" s="41"/>
      <c r="B49" s="41"/>
      <c r="C49" s="41"/>
      <c r="D49" s="43"/>
      <c r="E49" s="41"/>
      <c r="F49" s="41"/>
      <c r="G49" s="41"/>
      <c r="H49" s="41"/>
      <c r="I49" s="41"/>
      <c r="J49" s="44"/>
      <c r="K49" s="110"/>
      <c r="L49" s="41"/>
      <c r="M49" s="118">
        <v>41</v>
      </c>
      <c r="N49" s="119" t="e">
        <f t="shared" si="12"/>
        <v>#VALUE!</v>
      </c>
      <c r="O49" s="119" t="e">
        <f t="shared" si="8"/>
        <v>#VALUE!</v>
      </c>
      <c r="Q49" s="13">
        <f t="shared" si="14"/>
        <v>0</v>
      </c>
      <c r="R49" s="6">
        <f t="shared" si="13"/>
        <v>0</v>
      </c>
      <c r="S49" s="6">
        <f t="shared" si="15"/>
        <v>0</v>
      </c>
      <c r="T49" s="6"/>
      <c r="U49" s="14"/>
      <c r="V49" s="37" t="e">
        <f t="shared" si="9"/>
        <v>#VALUE!</v>
      </c>
      <c r="W49" s="6" t="e">
        <f t="shared" si="4"/>
        <v>#VALUE!</v>
      </c>
      <c r="X49" s="6"/>
      <c r="Y49" s="6">
        <f t="shared" si="5"/>
        <v>0</v>
      </c>
      <c r="Z49" s="14" t="e">
        <f t="shared" si="6"/>
        <v>#VALUE!</v>
      </c>
      <c r="AA49" s="13" t="e">
        <f t="shared" si="16"/>
        <v>#VALUE!</v>
      </c>
      <c r="AB49" s="6"/>
      <c r="AC49" s="6"/>
      <c r="AD49" s="6"/>
      <c r="AE49" s="14"/>
    </row>
    <row r="50" spans="1:31" ht="11.25" customHeight="1" x14ac:dyDescent="0.25">
      <c r="A50" s="41"/>
      <c r="B50" s="41"/>
      <c r="C50" s="41"/>
      <c r="D50" s="43"/>
      <c r="E50" s="41"/>
      <c r="F50" s="41"/>
      <c r="G50" s="41"/>
      <c r="H50" s="41"/>
      <c r="I50" s="41"/>
      <c r="J50" s="44"/>
      <c r="K50" s="110"/>
      <c r="L50" s="41"/>
      <c r="M50" s="118">
        <v>42</v>
      </c>
      <c r="N50" s="119" t="e">
        <f t="shared" si="12"/>
        <v>#VALUE!</v>
      </c>
      <c r="O50" s="119" t="e">
        <f t="shared" si="8"/>
        <v>#VALUE!</v>
      </c>
      <c r="Q50" s="13">
        <f t="shared" si="14"/>
        <v>0</v>
      </c>
      <c r="R50" s="6">
        <f t="shared" si="13"/>
        <v>0</v>
      </c>
      <c r="S50" s="6">
        <f t="shared" si="15"/>
        <v>0</v>
      </c>
      <c r="T50" s="6"/>
      <c r="U50" s="14"/>
      <c r="V50" s="37" t="e">
        <f t="shared" si="9"/>
        <v>#VALUE!</v>
      </c>
      <c r="W50" s="6" t="e">
        <f t="shared" si="4"/>
        <v>#VALUE!</v>
      </c>
      <c r="X50" s="6"/>
      <c r="Y50" s="6">
        <f t="shared" si="5"/>
        <v>0</v>
      </c>
      <c r="Z50" s="14" t="e">
        <f t="shared" si="6"/>
        <v>#VALUE!</v>
      </c>
      <c r="AA50" s="13" t="e">
        <f t="shared" si="16"/>
        <v>#VALUE!</v>
      </c>
      <c r="AB50" s="6"/>
      <c r="AC50" s="6"/>
      <c r="AD50" s="6"/>
      <c r="AE50" s="14"/>
    </row>
    <row r="51" spans="1:31" ht="11.25" customHeight="1" x14ac:dyDescent="0.25">
      <c r="A51" s="41"/>
      <c r="B51" s="41"/>
      <c r="C51" s="41"/>
      <c r="D51" s="43"/>
      <c r="E51" s="41"/>
      <c r="F51" s="41"/>
      <c r="G51" s="41"/>
      <c r="H51" s="41"/>
      <c r="I51" s="41"/>
      <c r="J51" s="44"/>
      <c r="K51" s="110"/>
      <c r="L51" s="41"/>
      <c r="M51" s="118">
        <v>43</v>
      </c>
      <c r="N51" s="119" t="e">
        <f t="shared" si="12"/>
        <v>#VALUE!</v>
      </c>
      <c r="O51" s="119" t="e">
        <f t="shared" si="8"/>
        <v>#VALUE!</v>
      </c>
      <c r="Q51" s="13">
        <f t="shared" si="14"/>
        <v>0</v>
      </c>
      <c r="R51" s="6">
        <f t="shared" si="13"/>
        <v>0</v>
      </c>
      <c r="S51" s="6">
        <f t="shared" si="15"/>
        <v>0</v>
      </c>
      <c r="T51" s="6"/>
      <c r="U51" s="14"/>
      <c r="V51" s="37" t="e">
        <f t="shared" si="9"/>
        <v>#VALUE!</v>
      </c>
      <c r="W51" s="6" t="e">
        <f t="shared" si="4"/>
        <v>#VALUE!</v>
      </c>
      <c r="X51" s="6"/>
      <c r="Y51" s="6">
        <f t="shared" si="5"/>
        <v>0</v>
      </c>
      <c r="Z51" s="14" t="e">
        <f t="shared" si="6"/>
        <v>#VALUE!</v>
      </c>
      <c r="AA51" s="13" t="e">
        <f t="shared" si="16"/>
        <v>#VALUE!</v>
      </c>
      <c r="AB51" s="6"/>
      <c r="AC51" s="6"/>
      <c r="AD51" s="6"/>
      <c r="AE51" s="14"/>
    </row>
    <row r="52" spans="1:31" ht="11.25" customHeight="1" x14ac:dyDescent="0.25">
      <c r="A52" s="41"/>
      <c r="B52" s="41"/>
      <c r="C52" s="41"/>
      <c r="D52" s="43"/>
      <c r="E52" s="41"/>
      <c r="F52" s="41"/>
      <c r="G52" s="41"/>
      <c r="H52" s="41"/>
      <c r="I52" s="41"/>
      <c r="J52" s="44"/>
      <c r="K52" s="110"/>
      <c r="L52" s="41"/>
      <c r="M52" s="118">
        <v>44</v>
      </c>
      <c r="N52" s="119" t="e">
        <f t="shared" si="12"/>
        <v>#VALUE!</v>
      </c>
      <c r="O52" s="119" t="e">
        <f t="shared" si="8"/>
        <v>#VALUE!</v>
      </c>
      <c r="Q52" s="13">
        <f t="shared" si="14"/>
        <v>0</v>
      </c>
      <c r="R52" s="6">
        <f t="shared" si="13"/>
        <v>0</v>
      </c>
      <c r="S52" s="6">
        <f t="shared" si="15"/>
        <v>0</v>
      </c>
      <c r="T52" s="6"/>
      <c r="U52" s="14"/>
      <c r="V52" s="37" t="e">
        <f t="shared" si="9"/>
        <v>#VALUE!</v>
      </c>
      <c r="W52" s="6" t="e">
        <f t="shared" si="4"/>
        <v>#VALUE!</v>
      </c>
      <c r="X52" s="6"/>
      <c r="Y52" s="6">
        <f t="shared" si="5"/>
        <v>0</v>
      </c>
      <c r="Z52" s="14" t="e">
        <f t="shared" si="6"/>
        <v>#VALUE!</v>
      </c>
      <c r="AA52" s="13" t="e">
        <f t="shared" si="16"/>
        <v>#VALUE!</v>
      </c>
      <c r="AB52" s="6"/>
      <c r="AC52" s="6"/>
      <c r="AD52" s="6"/>
      <c r="AE52" s="14"/>
    </row>
    <row r="53" spans="1:31" ht="11.25" customHeight="1" x14ac:dyDescent="0.25">
      <c r="A53" s="41"/>
      <c r="B53" s="41"/>
      <c r="C53" s="41"/>
      <c r="D53" s="43"/>
      <c r="E53" s="41"/>
      <c r="F53" s="41"/>
      <c r="G53" s="41"/>
      <c r="H53" s="41"/>
      <c r="I53" s="41"/>
      <c r="J53" s="44"/>
      <c r="K53" s="110"/>
      <c r="L53" s="41"/>
      <c r="M53" s="118">
        <v>45</v>
      </c>
      <c r="N53" s="119" t="e">
        <f t="shared" si="12"/>
        <v>#VALUE!</v>
      </c>
      <c r="O53" s="119" t="e">
        <f t="shared" si="8"/>
        <v>#VALUE!</v>
      </c>
      <c r="Q53" s="13">
        <f t="shared" si="14"/>
        <v>0</v>
      </c>
      <c r="R53" s="6">
        <f t="shared" si="13"/>
        <v>0</v>
      </c>
      <c r="S53" s="6">
        <f t="shared" si="15"/>
        <v>0</v>
      </c>
      <c r="T53" s="6"/>
      <c r="U53" s="14"/>
      <c r="V53" s="37" t="e">
        <f t="shared" si="9"/>
        <v>#VALUE!</v>
      </c>
      <c r="W53" s="6" t="e">
        <f t="shared" si="4"/>
        <v>#VALUE!</v>
      </c>
      <c r="X53" s="6"/>
      <c r="Y53" s="6">
        <f t="shared" si="5"/>
        <v>0</v>
      </c>
      <c r="Z53" s="14" t="e">
        <f t="shared" si="6"/>
        <v>#VALUE!</v>
      </c>
      <c r="AA53" s="13" t="e">
        <f t="shared" si="16"/>
        <v>#VALUE!</v>
      </c>
      <c r="AB53" s="6"/>
      <c r="AC53" s="6"/>
      <c r="AD53" s="6"/>
      <c r="AE53" s="14"/>
    </row>
    <row r="54" spans="1:31" ht="11.25" customHeight="1" x14ac:dyDescent="0.25">
      <c r="A54" s="41"/>
      <c r="B54" s="41"/>
      <c r="C54" s="41"/>
      <c r="D54" s="43"/>
      <c r="E54" s="41"/>
      <c r="F54" s="41"/>
      <c r="G54" s="41"/>
      <c r="H54" s="41"/>
      <c r="I54" s="41"/>
      <c r="J54" s="44"/>
      <c r="K54" s="110"/>
      <c r="L54" s="41"/>
      <c r="M54" s="118">
        <v>46</v>
      </c>
      <c r="N54" s="119" t="e">
        <f t="shared" si="12"/>
        <v>#VALUE!</v>
      </c>
      <c r="O54" s="119" t="e">
        <f t="shared" si="8"/>
        <v>#VALUE!</v>
      </c>
      <c r="Q54" s="13">
        <f t="shared" si="14"/>
        <v>0</v>
      </c>
      <c r="R54" s="6">
        <f t="shared" si="13"/>
        <v>0</v>
      </c>
      <c r="S54" s="6">
        <f t="shared" si="15"/>
        <v>0</v>
      </c>
      <c r="T54" s="6"/>
      <c r="U54" s="14"/>
      <c r="V54" s="37" t="e">
        <f t="shared" si="9"/>
        <v>#VALUE!</v>
      </c>
      <c r="W54" s="6" t="e">
        <f t="shared" si="4"/>
        <v>#VALUE!</v>
      </c>
      <c r="X54" s="6"/>
      <c r="Y54" s="6">
        <f t="shared" si="5"/>
        <v>0</v>
      </c>
      <c r="Z54" s="14" t="e">
        <f t="shared" si="6"/>
        <v>#VALUE!</v>
      </c>
      <c r="AA54" s="13" t="e">
        <f t="shared" si="16"/>
        <v>#VALUE!</v>
      </c>
      <c r="AB54" s="6"/>
      <c r="AC54" s="6"/>
      <c r="AD54" s="6"/>
      <c r="AE54" s="14"/>
    </row>
    <row r="55" spans="1:31" ht="11.25" customHeight="1" x14ac:dyDescent="0.25">
      <c r="A55" s="41"/>
      <c r="B55" s="41"/>
      <c r="C55" s="41"/>
      <c r="D55" s="43"/>
      <c r="E55" s="41"/>
      <c r="F55" s="41"/>
      <c r="G55" s="41"/>
      <c r="H55" s="41"/>
      <c r="I55" s="41"/>
      <c r="J55" s="44"/>
      <c r="K55" s="110"/>
      <c r="L55" s="41"/>
      <c r="M55" s="118">
        <v>47</v>
      </c>
      <c r="N55" s="119" t="e">
        <f t="shared" si="12"/>
        <v>#VALUE!</v>
      </c>
      <c r="O55" s="119" t="e">
        <f t="shared" si="8"/>
        <v>#VALUE!</v>
      </c>
      <c r="Q55" s="13">
        <f t="shared" si="14"/>
        <v>0</v>
      </c>
      <c r="R55" s="6">
        <f t="shared" si="13"/>
        <v>0</v>
      </c>
      <c r="S55" s="6">
        <f t="shared" si="15"/>
        <v>0</v>
      </c>
      <c r="T55" s="6"/>
      <c r="U55" s="14"/>
      <c r="V55" s="37" t="e">
        <f t="shared" si="9"/>
        <v>#VALUE!</v>
      </c>
      <c r="W55" s="6" t="e">
        <f t="shared" si="4"/>
        <v>#VALUE!</v>
      </c>
      <c r="X55" s="6"/>
      <c r="Y55" s="6">
        <f t="shared" si="5"/>
        <v>0</v>
      </c>
      <c r="Z55" s="14" t="e">
        <f t="shared" si="6"/>
        <v>#VALUE!</v>
      </c>
      <c r="AA55" s="13" t="e">
        <f t="shared" si="16"/>
        <v>#VALUE!</v>
      </c>
      <c r="AB55" s="6"/>
      <c r="AC55" s="6"/>
      <c r="AD55" s="6"/>
      <c r="AE55" s="14"/>
    </row>
    <row r="56" spans="1:31" ht="11.25" customHeight="1" x14ac:dyDescent="0.25">
      <c r="A56" s="41"/>
      <c r="B56" s="41"/>
      <c r="C56" s="41"/>
      <c r="D56" s="43"/>
      <c r="E56" s="41"/>
      <c r="F56" s="41"/>
      <c r="G56" s="41"/>
      <c r="H56" s="41"/>
      <c r="I56" s="41"/>
      <c r="J56" s="44"/>
      <c r="K56" s="110"/>
      <c r="L56" s="41"/>
      <c r="M56" s="118">
        <v>48</v>
      </c>
      <c r="N56" s="119" t="e">
        <f t="shared" si="12"/>
        <v>#VALUE!</v>
      </c>
      <c r="O56" s="119" t="e">
        <f t="shared" si="8"/>
        <v>#VALUE!</v>
      </c>
      <c r="Q56" s="13">
        <f t="shared" si="14"/>
        <v>0</v>
      </c>
      <c r="R56" s="6">
        <f t="shared" si="13"/>
        <v>0</v>
      </c>
      <c r="S56" s="6">
        <f t="shared" si="15"/>
        <v>0</v>
      </c>
      <c r="T56" s="6"/>
      <c r="U56" s="14"/>
      <c r="V56" s="37" t="e">
        <f t="shared" si="9"/>
        <v>#VALUE!</v>
      </c>
      <c r="W56" s="6" t="e">
        <f t="shared" si="4"/>
        <v>#VALUE!</v>
      </c>
      <c r="X56" s="6"/>
      <c r="Y56" s="6">
        <f t="shared" si="5"/>
        <v>0</v>
      </c>
      <c r="Z56" s="14" t="e">
        <f t="shared" si="6"/>
        <v>#VALUE!</v>
      </c>
      <c r="AA56" s="13" t="e">
        <f t="shared" si="16"/>
        <v>#VALUE!</v>
      </c>
      <c r="AB56" s="6"/>
      <c r="AC56" s="6"/>
      <c r="AD56" s="6"/>
      <c r="AE56" s="14"/>
    </row>
    <row r="57" spans="1:31" ht="11.25" customHeight="1" x14ac:dyDescent="0.25">
      <c r="A57" s="41"/>
      <c r="B57" s="41"/>
      <c r="C57" s="41"/>
      <c r="D57" s="43"/>
      <c r="E57" s="41"/>
      <c r="F57" s="41"/>
      <c r="G57" s="41"/>
      <c r="H57" s="41"/>
      <c r="I57" s="41"/>
      <c r="J57" s="44"/>
      <c r="K57" s="110"/>
      <c r="L57" s="41"/>
      <c r="M57" s="118">
        <v>49</v>
      </c>
      <c r="N57" s="119" t="e">
        <f t="shared" si="12"/>
        <v>#VALUE!</v>
      </c>
      <c r="O57" s="119" t="e">
        <f t="shared" si="8"/>
        <v>#VALUE!</v>
      </c>
      <c r="Q57" s="13">
        <f t="shared" si="14"/>
        <v>0</v>
      </c>
      <c r="R57" s="6">
        <f t="shared" si="13"/>
        <v>0</v>
      </c>
      <c r="S57" s="6">
        <f t="shared" si="15"/>
        <v>0</v>
      </c>
      <c r="T57" s="6"/>
      <c r="U57" s="14"/>
      <c r="V57" s="37" t="e">
        <f t="shared" si="9"/>
        <v>#VALUE!</v>
      </c>
      <c r="W57" s="6" t="e">
        <f t="shared" si="4"/>
        <v>#VALUE!</v>
      </c>
      <c r="X57" s="6"/>
      <c r="Y57" s="6">
        <f t="shared" si="5"/>
        <v>0</v>
      </c>
      <c r="Z57" s="14" t="e">
        <f t="shared" si="6"/>
        <v>#VALUE!</v>
      </c>
      <c r="AA57" s="13" t="e">
        <f t="shared" si="16"/>
        <v>#VALUE!</v>
      </c>
      <c r="AB57" s="6"/>
      <c r="AC57" s="6"/>
      <c r="AD57" s="6"/>
      <c r="AE57" s="14"/>
    </row>
    <row r="58" spans="1:31" ht="11.25" customHeight="1" x14ac:dyDescent="0.25">
      <c r="A58" s="41"/>
      <c r="B58" s="41"/>
      <c r="C58" s="41"/>
      <c r="D58" s="43"/>
      <c r="E58" s="41"/>
      <c r="F58" s="41"/>
      <c r="G58" s="41"/>
      <c r="H58" s="41"/>
      <c r="I58" s="41"/>
      <c r="J58" s="44"/>
      <c r="K58" s="110"/>
      <c r="L58" s="41"/>
      <c r="M58" s="118">
        <v>50</v>
      </c>
      <c r="N58" s="119" t="e">
        <f t="shared" si="12"/>
        <v>#VALUE!</v>
      </c>
      <c r="O58" s="119" t="e">
        <f t="shared" si="8"/>
        <v>#VALUE!</v>
      </c>
      <c r="Q58" s="13">
        <f t="shared" si="14"/>
        <v>0</v>
      </c>
      <c r="R58" s="6">
        <f t="shared" si="13"/>
        <v>0</v>
      </c>
      <c r="S58" s="6">
        <f t="shared" si="15"/>
        <v>0</v>
      </c>
      <c r="T58" s="6"/>
      <c r="U58" s="14"/>
      <c r="V58" s="37" t="e">
        <f t="shared" si="9"/>
        <v>#VALUE!</v>
      </c>
      <c r="W58" s="6" t="e">
        <f t="shared" si="4"/>
        <v>#VALUE!</v>
      </c>
      <c r="X58" s="6"/>
      <c r="Y58" s="6">
        <f t="shared" si="5"/>
        <v>0</v>
      </c>
      <c r="Z58" s="14" t="e">
        <f t="shared" si="6"/>
        <v>#VALUE!</v>
      </c>
      <c r="AA58" s="13" t="e">
        <f t="shared" si="16"/>
        <v>#VALUE!</v>
      </c>
      <c r="AB58" s="6"/>
      <c r="AC58" s="6"/>
      <c r="AD58" s="6"/>
      <c r="AE58" s="14"/>
    </row>
    <row r="59" spans="1:31" ht="11.25" customHeight="1" x14ac:dyDescent="0.25">
      <c r="A59" s="41"/>
      <c r="B59" s="41"/>
      <c r="C59" s="41"/>
      <c r="D59" s="43"/>
      <c r="E59" s="41"/>
      <c r="F59" s="41"/>
      <c r="G59" s="41"/>
      <c r="H59" s="41"/>
      <c r="I59" s="41"/>
      <c r="J59" s="44"/>
      <c r="K59" s="110"/>
      <c r="L59" s="41"/>
      <c r="M59" s="118">
        <v>51</v>
      </c>
      <c r="N59" s="119" t="e">
        <f t="shared" si="12"/>
        <v>#VALUE!</v>
      </c>
      <c r="O59" s="119" t="e">
        <f t="shared" si="8"/>
        <v>#VALUE!</v>
      </c>
      <c r="Q59" s="13">
        <f t="shared" si="14"/>
        <v>0</v>
      </c>
      <c r="R59" s="6">
        <f t="shared" si="13"/>
        <v>0</v>
      </c>
      <c r="S59" s="6">
        <f t="shared" si="15"/>
        <v>0</v>
      </c>
      <c r="T59" s="6"/>
      <c r="U59" s="14"/>
      <c r="V59" s="37" t="e">
        <f t="shared" si="9"/>
        <v>#VALUE!</v>
      </c>
      <c r="W59" s="6" t="e">
        <f t="shared" si="4"/>
        <v>#VALUE!</v>
      </c>
      <c r="X59" s="6"/>
      <c r="Y59" s="6">
        <f t="shared" si="5"/>
        <v>0</v>
      </c>
      <c r="Z59" s="14" t="e">
        <f t="shared" si="6"/>
        <v>#VALUE!</v>
      </c>
      <c r="AA59" s="13" t="e">
        <f t="shared" si="16"/>
        <v>#VALUE!</v>
      </c>
      <c r="AB59" s="6"/>
      <c r="AC59" s="6"/>
      <c r="AD59" s="6"/>
      <c r="AE59" s="14"/>
    </row>
    <row r="60" spans="1:31" ht="11.25" customHeight="1" x14ac:dyDescent="0.25">
      <c r="A60" s="41"/>
      <c r="B60" s="41"/>
      <c r="C60" s="41"/>
      <c r="D60" s="43"/>
      <c r="E60" s="41"/>
      <c r="F60" s="41"/>
      <c r="G60" s="41"/>
      <c r="H60" s="41"/>
      <c r="I60" s="41"/>
      <c r="J60" s="44"/>
      <c r="K60" s="110"/>
      <c r="L60" s="41"/>
      <c r="M60" s="118">
        <v>52</v>
      </c>
      <c r="N60" s="119" t="e">
        <f t="shared" si="12"/>
        <v>#VALUE!</v>
      </c>
      <c r="O60" s="119" t="e">
        <f t="shared" si="8"/>
        <v>#VALUE!</v>
      </c>
      <c r="Q60" s="13">
        <f t="shared" si="14"/>
        <v>0</v>
      </c>
      <c r="R60" s="6">
        <f t="shared" si="13"/>
        <v>0</v>
      </c>
      <c r="S60" s="6">
        <f t="shared" si="15"/>
        <v>0</v>
      </c>
      <c r="T60" s="6"/>
      <c r="U60" s="14"/>
      <c r="V60" s="37" t="e">
        <f t="shared" si="9"/>
        <v>#VALUE!</v>
      </c>
      <c r="W60" s="6" t="e">
        <f t="shared" si="4"/>
        <v>#VALUE!</v>
      </c>
      <c r="X60" s="6"/>
      <c r="Y60" s="6">
        <f t="shared" si="5"/>
        <v>0</v>
      </c>
      <c r="Z60" s="14" t="e">
        <f t="shared" si="6"/>
        <v>#VALUE!</v>
      </c>
      <c r="AA60" s="13" t="e">
        <f t="shared" si="16"/>
        <v>#VALUE!</v>
      </c>
      <c r="AB60" s="6"/>
      <c r="AC60" s="6"/>
      <c r="AD60" s="6"/>
      <c r="AE60" s="14"/>
    </row>
    <row r="61" spans="1:31" ht="11.25" customHeight="1" x14ac:dyDescent="0.25">
      <c r="A61" s="41"/>
      <c r="B61" s="41"/>
      <c r="C61" s="41"/>
      <c r="D61" s="43"/>
      <c r="E61" s="41"/>
      <c r="F61" s="41"/>
      <c r="G61" s="41"/>
      <c r="H61" s="41"/>
      <c r="I61" s="41"/>
      <c r="J61" s="44"/>
      <c r="K61" s="110"/>
      <c r="L61" s="41"/>
      <c r="M61" s="118">
        <v>53</v>
      </c>
      <c r="N61" s="119" t="e">
        <f t="shared" si="12"/>
        <v>#VALUE!</v>
      </c>
      <c r="O61" s="119" t="e">
        <f t="shared" si="8"/>
        <v>#VALUE!</v>
      </c>
      <c r="Q61" s="13">
        <f t="shared" si="14"/>
        <v>0</v>
      </c>
      <c r="R61" s="6">
        <f t="shared" si="13"/>
        <v>0</v>
      </c>
      <c r="S61" s="6">
        <f t="shared" si="15"/>
        <v>0</v>
      </c>
      <c r="T61" s="6"/>
      <c r="U61" s="14"/>
      <c r="V61" s="37" t="e">
        <f t="shared" si="9"/>
        <v>#VALUE!</v>
      </c>
      <c r="W61" s="6" t="e">
        <f t="shared" si="4"/>
        <v>#VALUE!</v>
      </c>
      <c r="X61" s="6"/>
      <c r="Y61" s="6">
        <f t="shared" si="5"/>
        <v>0</v>
      </c>
      <c r="Z61" s="14" t="e">
        <f t="shared" si="6"/>
        <v>#VALUE!</v>
      </c>
      <c r="AA61" s="13" t="e">
        <f t="shared" si="16"/>
        <v>#VALUE!</v>
      </c>
      <c r="AB61" s="6"/>
      <c r="AC61" s="6"/>
      <c r="AD61" s="6"/>
      <c r="AE61" s="14"/>
    </row>
    <row r="62" spans="1:31" ht="11.25" customHeight="1" x14ac:dyDescent="0.25">
      <c r="A62" s="41"/>
      <c r="B62" s="41"/>
      <c r="C62" s="41"/>
      <c r="D62" s="43"/>
      <c r="E62" s="41"/>
      <c r="F62" s="41"/>
      <c r="G62" s="41"/>
      <c r="H62" s="41"/>
      <c r="I62" s="41"/>
      <c r="J62" s="44"/>
      <c r="K62" s="110"/>
      <c r="L62" s="41"/>
      <c r="M62" s="118">
        <v>54</v>
      </c>
      <c r="N62" s="119" t="e">
        <f t="shared" si="12"/>
        <v>#VALUE!</v>
      </c>
      <c r="O62" s="119" t="e">
        <f t="shared" si="8"/>
        <v>#VALUE!</v>
      </c>
      <c r="Q62" s="13">
        <f t="shared" si="14"/>
        <v>0</v>
      </c>
      <c r="R62" s="6">
        <f t="shared" si="13"/>
        <v>0</v>
      </c>
      <c r="S62" s="6">
        <f t="shared" si="15"/>
        <v>0</v>
      </c>
      <c r="T62" s="6"/>
      <c r="U62" s="14"/>
      <c r="V62" s="37" t="e">
        <f t="shared" si="9"/>
        <v>#VALUE!</v>
      </c>
      <c r="W62" s="6" t="e">
        <f t="shared" si="4"/>
        <v>#VALUE!</v>
      </c>
      <c r="X62" s="6"/>
      <c r="Y62" s="6">
        <f t="shared" si="5"/>
        <v>0</v>
      </c>
      <c r="Z62" s="14" t="e">
        <f t="shared" si="6"/>
        <v>#VALUE!</v>
      </c>
      <c r="AA62" s="13" t="e">
        <f t="shared" si="16"/>
        <v>#VALUE!</v>
      </c>
      <c r="AB62" s="6"/>
      <c r="AC62" s="6"/>
      <c r="AD62" s="6"/>
      <c r="AE62" s="14"/>
    </row>
    <row r="63" spans="1:31" ht="11.25" customHeight="1" x14ac:dyDescent="0.25">
      <c r="A63" s="41"/>
      <c r="B63" s="41"/>
      <c r="C63" s="41"/>
      <c r="D63" s="43"/>
      <c r="E63" s="41"/>
      <c r="F63" s="41"/>
      <c r="G63" s="41"/>
      <c r="H63" s="41"/>
      <c r="I63" s="41"/>
      <c r="J63" s="44"/>
      <c r="K63" s="110"/>
      <c r="L63" s="41"/>
      <c r="M63" s="118">
        <v>55</v>
      </c>
      <c r="N63" s="119" t="e">
        <f t="shared" si="12"/>
        <v>#VALUE!</v>
      </c>
      <c r="O63" s="119" t="e">
        <f t="shared" si="8"/>
        <v>#VALUE!</v>
      </c>
      <c r="Q63" s="13">
        <f t="shared" si="14"/>
        <v>0</v>
      </c>
      <c r="R63" s="6">
        <f t="shared" si="13"/>
        <v>0</v>
      </c>
      <c r="S63" s="6">
        <f t="shared" si="15"/>
        <v>0</v>
      </c>
      <c r="T63" s="6"/>
      <c r="U63" s="14"/>
      <c r="V63" s="37" t="e">
        <f t="shared" si="9"/>
        <v>#VALUE!</v>
      </c>
      <c r="W63" s="6" t="e">
        <f t="shared" si="4"/>
        <v>#VALUE!</v>
      </c>
      <c r="X63" s="6"/>
      <c r="Y63" s="6">
        <f t="shared" si="5"/>
        <v>0</v>
      </c>
      <c r="Z63" s="14" t="e">
        <f t="shared" si="6"/>
        <v>#VALUE!</v>
      </c>
      <c r="AA63" s="13" t="e">
        <f t="shared" si="16"/>
        <v>#VALUE!</v>
      </c>
      <c r="AB63" s="6"/>
      <c r="AC63" s="6"/>
      <c r="AD63" s="6"/>
      <c r="AE63" s="14"/>
    </row>
    <row r="64" spans="1:31" ht="11.25" customHeight="1" x14ac:dyDescent="0.25">
      <c r="A64" s="41"/>
      <c r="B64" s="41"/>
      <c r="C64" s="41"/>
      <c r="D64" s="43"/>
      <c r="E64" s="41"/>
      <c r="F64" s="41"/>
      <c r="G64" s="41"/>
      <c r="H64" s="41"/>
      <c r="I64" s="41"/>
      <c r="J64" s="44"/>
      <c r="K64" s="110"/>
      <c r="L64" s="41"/>
      <c r="M64" s="118">
        <v>56</v>
      </c>
      <c r="N64" s="119" t="e">
        <f t="shared" si="12"/>
        <v>#VALUE!</v>
      </c>
      <c r="O64" s="119" t="e">
        <f t="shared" si="8"/>
        <v>#VALUE!</v>
      </c>
      <c r="Q64" s="13">
        <f t="shared" si="14"/>
        <v>0</v>
      </c>
      <c r="R64" s="6">
        <f t="shared" si="13"/>
        <v>0</v>
      </c>
      <c r="S64" s="6">
        <f t="shared" si="15"/>
        <v>0</v>
      </c>
      <c r="T64" s="6"/>
      <c r="U64" s="14"/>
      <c r="V64" s="37" t="e">
        <f t="shared" si="9"/>
        <v>#VALUE!</v>
      </c>
      <c r="W64" s="6" t="e">
        <f t="shared" si="4"/>
        <v>#VALUE!</v>
      </c>
      <c r="X64" s="6"/>
      <c r="Y64" s="6">
        <f t="shared" si="5"/>
        <v>0</v>
      </c>
      <c r="Z64" s="14" t="e">
        <f t="shared" si="6"/>
        <v>#VALUE!</v>
      </c>
      <c r="AA64" s="13" t="e">
        <f t="shared" si="16"/>
        <v>#VALUE!</v>
      </c>
      <c r="AB64" s="6"/>
      <c r="AC64" s="6"/>
      <c r="AD64" s="6"/>
      <c r="AE64" s="14"/>
    </row>
    <row r="65" spans="1:31" ht="11.25" customHeight="1" x14ac:dyDescent="0.25">
      <c r="A65" s="41"/>
      <c r="B65" s="41"/>
      <c r="C65" s="41"/>
      <c r="D65" s="43"/>
      <c r="E65" s="41"/>
      <c r="F65" s="41"/>
      <c r="G65" s="41"/>
      <c r="H65" s="41"/>
      <c r="I65" s="41"/>
      <c r="J65" s="44"/>
      <c r="K65" s="110"/>
      <c r="L65" s="41"/>
      <c r="M65" s="118">
        <v>57</v>
      </c>
      <c r="N65" s="119" t="e">
        <f t="shared" si="12"/>
        <v>#VALUE!</v>
      </c>
      <c r="O65" s="119" t="e">
        <f t="shared" si="8"/>
        <v>#VALUE!</v>
      </c>
      <c r="Q65" s="13">
        <f t="shared" si="14"/>
        <v>0</v>
      </c>
      <c r="R65" s="6">
        <f t="shared" si="13"/>
        <v>0</v>
      </c>
      <c r="S65" s="6">
        <f t="shared" si="15"/>
        <v>0</v>
      </c>
      <c r="T65" s="6"/>
      <c r="U65" s="14"/>
      <c r="V65" s="37" t="e">
        <f t="shared" si="9"/>
        <v>#VALUE!</v>
      </c>
      <c r="W65" s="6" t="e">
        <f t="shared" si="4"/>
        <v>#VALUE!</v>
      </c>
      <c r="X65" s="6"/>
      <c r="Y65" s="6">
        <f t="shared" si="5"/>
        <v>0</v>
      </c>
      <c r="Z65" s="14" t="e">
        <f t="shared" si="6"/>
        <v>#VALUE!</v>
      </c>
      <c r="AA65" s="13" t="e">
        <f t="shared" si="16"/>
        <v>#VALUE!</v>
      </c>
      <c r="AB65" s="6"/>
      <c r="AC65" s="6"/>
      <c r="AD65" s="6"/>
      <c r="AE65" s="14"/>
    </row>
    <row r="66" spans="1:31" ht="11.25" customHeight="1" x14ac:dyDescent="0.25">
      <c r="A66" s="41"/>
      <c r="B66" s="41"/>
      <c r="C66" s="41"/>
      <c r="D66" s="43"/>
      <c r="E66" s="41"/>
      <c r="F66" s="41"/>
      <c r="G66" s="41"/>
      <c r="H66" s="41"/>
      <c r="I66" s="41"/>
      <c r="J66" s="44"/>
      <c r="K66" s="110"/>
      <c r="L66" s="41"/>
      <c r="M66" s="118">
        <v>58</v>
      </c>
      <c r="N66" s="119" t="e">
        <f t="shared" si="12"/>
        <v>#VALUE!</v>
      </c>
      <c r="O66" s="119" t="e">
        <f t="shared" si="8"/>
        <v>#VALUE!</v>
      </c>
      <c r="Q66" s="13">
        <f t="shared" si="14"/>
        <v>0</v>
      </c>
      <c r="R66" s="6">
        <f t="shared" si="13"/>
        <v>0</v>
      </c>
      <c r="S66" s="6">
        <f t="shared" si="15"/>
        <v>0</v>
      </c>
      <c r="T66" s="6"/>
      <c r="U66" s="14"/>
      <c r="V66" s="37" t="e">
        <f t="shared" si="9"/>
        <v>#VALUE!</v>
      </c>
      <c r="W66" s="6" t="e">
        <f t="shared" si="4"/>
        <v>#VALUE!</v>
      </c>
      <c r="X66" s="6"/>
      <c r="Y66" s="6">
        <f t="shared" si="5"/>
        <v>0</v>
      </c>
      <c r="Z66" s="14" t="e">
        <f t="shared" si="6"/>
        <v>#VALUE!</v>
      </c>
      <c r="AA66" s="13" t="e">
        <f t="shared" si="16"/>
        <v>#VALUE!</v>
      </c>
      <c r="AB66" s="6"/>
      <c r="AC66" s="6"/>
      <c r="AD66" s="6"/>
      <c r="AE66" s="14"/>
    </row>
    <row r="67" spans="1:31" ht="11.25" customHeight="1" x14ac:dyDescent="0.25">
      <c r="A67" s="41"/>
      <c r="B67" s="41"/>
      <c r="C67" s="41"/>
      <c r="D67" s="43"/>
      <c r="E67" s="41"/>
      <c r="F67" s="41"/>
      <c r="G67" s="41"/>
      <c r="H67" s="41"/>
      <c r="I67" s="41"/>
      <c r="J67" s="44"/>
      <c r="K67" s="110"/>
      <c r="L67" s="41"/>
      <c r="M67" s="118">
        <v>59</v>
      </c>
      <c r="N67" s="119" t="e">
        <f t="shared" si="12"/>
        <v>#VALUE!</v>
      </c>
      <c r="O67" s="119" t="e">
        <f t="shared" si="8"/>
        <v>#VALUE!</v>
      </c>
      <c r="Q67" s="13">
        <f t="shared" si="14"/>
        <v>0</v>
      </c>
      <c r="R67" s="6">
        <f t="shared" si="13"/>
        <v>0</v>
      </c>
      <c r="S67" s="6">
        <f t="shared" si="15"/>
        <v>0</v>
      </c>
      <c r="T67" s="6"/>
      <c r="U67" s="14"/>
      <c r="V67" s="37" t="e">
        <f t="shared" si="9"/>
        <v>#VALUE!</v>
      </c>
      <c r="W67" s="6" t="e">
        <f t="shared" si="4"/>
        <v>#VALUE!</v>
      </c>
      <c r="X67" s="6"/>
      <c r="Y67" s="6">
        <f t="shared" si="5"/>
        <v>0</v>
      </c>
      <c r="Z67" s="14" t="e">
        <f t="shared" si="6"/>
        <v>#VALUE!</v>
      </c>
      <c r="AA67" s="13" t="e">
        <f t="shared" si="16"/>
        <v>#VALUE!</v>
      </c>
      <c r="AB67" s="6"/>
      <c r="AC67" s="6"/>
      <c r="AD67" s="6"/>
      <c r="AE67" s="14"/>
    </row>
    <row r="68" spans="1:31" ht="11.25" customHeight="1" x14ac:dyDescent="0.25">
      <c r="A68" s="41"/>
      <c r="B68" s="41"/>
      <c r="C68" s="41"/>
      <c r="D68" s="43"/>
      <c r="E68" s="41"/>
      <c r="F68" s="41"/>
      <c r="G68" s="41"/>
      <c r="H68" s="41"/>
      <c r="I68" s="41"/>
      <c r="J68" s="44"/>
      <c r="K68" s="110"/>
      <c r="L68" s="41"/>
      <c r="M68" s="118">
        <v>60</v>
      </c>
      <c r="N68" s="119" t="e">
        <f t="shared" si="12"/>
        <v>#VALUE!</v>
      </c>
      <c r="O68" s="119" t="e">
        <f t="shared" si="8"/>
        <v>#VALUE!</v>
      </c>
      <c r="Q68" s="13">
        <f t="shared" si="14"/>
        <v>0</v>
      </c>
      <c r="R68" s="6">
        <f t="shared" si="13"/>
        <v>0</v>
      </c>
      <c r="S68" s="6">
        <f t="shared" si="15"/>
        <v>0</v>
      </c>
      <c r="T68" s="6"/>
      <c r="U68" s="14"/>
      <c r="V68" s="37" t="e">
        <f t="shared" si="9"/>
        <v>#VALUE!</v>
      </c>
      <c r="W68" s="6" t="e">
        <f t="shared" si="4"/>
        <v>#VALUE!</v>
      </c>
      <c r="X68" s="6"/>
      <c r="Y68" s="6">
        <f t="shared" si="5"/>
        <v>0</v>
      </c>
      <c r="Z68" s="14" t="e">
        <f t="shared" si="6"/>
        <v>#VALUE!</v>
      </c>
      <c r="AA68" s="13" t="e">
        <f t="shared" si="16"/>
        <v>#VALUE!</v>
      </c>
      <c r="AB68" s="6"/>
      <c r="AC68" s="6"/>
      <c r="AD68" s="6"/>
      <c r="AE68" s="14"/>
    </row>
    <row r="69" spans="1:31" ht="11.25" customHeight="1" x14ac:dyDescent="0.25">
      <c r="A69" s="41"/>
      <c r="B69" s="41"/>
      <c r="C69" s="41"/>
      <c r="D69" s="43"/>
      <c r="E69" s="41"/>
      <c r="F69" s="41"/>
      <c r="G69" s="41"/>
      <c r="H69" s="41"/>
      <c r="I69" s="41"/>
      <c r="J69" s="44"/>
      <c r="K69" s="110"/>
      <c r="L69" s="41"/>
      <c r="M69" s="118">
        <v>61</v>
      </c>
      <c r="N69" s="119" t="e">
        <f t="shared" si="12"/>
        <v>#VALUE!</v>
      </c>
      <c r="O69" s="119" t="e">
        <f t="shared" si="8"/>
        <v>#VALUE!</v>
      </c>
      <c r="Q69" s="13">
        <f t="shared" si="14"/>
        <v>0</v>
      </c>
      <c r="R69" s="6">
        <f t="shared" si="13"/>
        <v>0</v>
      </c>
      <c r="S69" s="6">
        <f t="shared" si="15"/>
        <v>0</v>
      </c>
      <c r="T69" s="6"/>
      <c r="U69" s="14"/>
      <c r="V69" s="37" t="e">
        <f t="shared" si="9"/>
        <v>#VALUE!</v>
      </c>
      <c r="W69" s="6" t="e">
        <f t="shared" si="4"/>
        <v>#VALUE!</v>
      </c>
      <c r="X69" s="6"/>
      <c r="Y69" s="6">
        <f t="shared" si="5"/>
        <v>0</v>
      </c>
      <c r="Z69" s="14" t="e">
        <f t="shared" si="6"/>
        <v>#VALUE!</v>
      </c>
      <c r="AA69" s="13" t="e">
        <f t="shared" si="16"/>
        <v>#VALUE!</v>
      </c>
      <c r="AB69" s="6"/>
      <c r="AC69" s="6"/>
      <c r="AD69" s="6"/>
      <c r="AE69" s="14"/>
    </row>
    <row r="70" spans="1:31" ht="11.25" customHeight="1" x14ac:dyDescent="0.25">
      <c r="A70" s="41"/>
      <c r="B70" s="41"/>
      <c r="C70" s="41"/>
      <c r="D70" s="43"/>
      <c r="E70" s="41"/>
      <c r="F70" s="41"/>
      <c r="G70" s="41"/>
      <c r="H70" s="41"/>
      <c r="I70" s="41"/>
      <c r="J70" s="44"/>
      <c r="K70" s="110"/>
      <c r="L70" s="41"/>
      <c r="M70" s="118">
        <v>62</v>
      </c>
      <c r="N70" s="119" t="e">
        <f t="shared" si="12"/>
        <v>#VALUE!</v>
      </c>
      <c r="O70" s="119" t="e">
        <f t="shared" si="8"/>
        <v>#VALUE!</v>
      </c>
      <c r="Q70" s="13">
        <f t="shared" si="14"/>
        <v>0</v>
      </c>
      <c r="R70" s="6">
        <f t="shared" si="13"/>
        <v>0</v>
      </c>
      <c r="S70" s="6">
        <f t="shared" si="15"/>
        <v>0</v>
      </c>
      <c r="T70" s="6"/>
      <c r="U70" s="14"/>
      <c r="V70" s="37" t="e">
        <f t="shared" si="9"/>
        <v>#VALUE!</v>
      </c>
      <c r="W70" s="6" t="e">
        <f t="shared" si="4"/>
        <v>#VALUE!</v>
      </c>
      <c r="X70" s="6"/>
      <c r="Y70" s="6">
        <f t="shared" si="5"/>
        <v>0</v>
      </c>
      <c r="Z70" s="14" t="e">
        <f t="shared" si="6"/>
        <v>#VALUE!</v>
      </c>
      <c r="AA70" s="13" t="e">
        <f t="shared" si="16"/>
        <v>#VALUE!</v>
      </c>
      <c r="AB70" s="6"/>
      <c r="AC70" s="6"/>
      <c r="AD70" s="6"/>
      <c r="AE70" s="14"/>
    </row>
    <row r="71" spans="1:31" ht="11.25" customHeight="1" x14ac:dyDescent="0.25">
      <c r="A71" s="41"/>
      <c r="B71" s="41"/>
      <c r="C71" s="41"/>
      <c r="D71" s="43"/>
      <c r="E71" s="41"/>
      <c r="F71" s="41"/>
      <c r="G71" s="41"/>
      <c r="H71" s="41"/>
      <c r="I71" s="41"/>
      <c r="J71" s="44"/>
      <c r="K71" s="110"/>
      <c r="L71" s="41"/>
      <c r="M71" s="118">
        <v>63</v>
      </c>
      <c r="N71" s="119" t="e">
        <f t="shared" si="12"/>
        <v>#VALUE!</v>
      </c>
      <c r="O71" s="119" t="e">
        <f t="shared" si="8"/>
        <v>#VALUE!</v>
      </c>
      <c r="Q71" s="13">
        <f t="shared" si="14"/>
        <v>0</v>
      </c>
      <c r="R71" s="6">
        <f t="shared" si="13"/>
        <v>0</v>
      </c>
      <c r="S71" s="6">
        <f t="shared" si="15"/>
        <v>0</v>
      </c>
      <c r="T71" s="6"/>
      <c r="U71" s="14"/>
      <c r="V71" s="37" t="e">
        <f t="shared" si="9"/>
        <v>#VALUE!</v>
      </c>
      <c r="W71" s="6" t="e">
        <f t="shared" si="4"/>
        <v>#VALUE!</v>
      </c>
      <c r="X71" s="6"/>
      <c r="Y71" s="6">
        <f t="shared" si="5"/>
        <v>0</v>
      </c>
      <c r="Z71" s="14" t="e">
        <f t="shared" si="6"/>
        <v>#VALUE!</v>
      </c>
      <c r="AA71" s="13" t="e">
        <f t="shared" si="16"/>
        <v>#VALUE!</v>
      </c>
      <c r="AB71" s="6"/>
      <c r="AC71" s="6"/>
      <c r="AD71" s="6"/>
      <c r="AE71" s="14"/>
    </row>
    <row r="72" spans="1:31" ht="11.25" customHeight="1" x14ac:dyDescent="0.25">
      <c r="A72" s="41"/>
      <c r="B72" s="41"/>
      <c r="C72" s="41"/>
      <c r="D72" s="43"/>
      <c r="E72" s="41"/>
      <c r="F72" s="41"/>
      <c r="G72" s="41"/>
      <c r="H72" s="41"/>
      <c r="I72" s="41"/>
      <c r="J72" s="44"/>
      <c r="K72" s="110"/>
      <c r="L72" s="41"/>
      <c r="M72" s="118">
        <v>64</v>
      </c>
      <c r="N72" s="119" t="e">
        <f t="shared" ref="N72:N108" si="17">IF($E$8&gt;1,V72,AA72)</f>
        <v>#VALUE!</v>
      </c>
      <c r="O72" s="119" t="e">
        <f t="shared" si="8"/>
        <v>#VALUE!</v>
      </c>
      <c r="Q72" s="13">
        <f t="shared" si="14"/>
        <v>0</v>
      </c>
      <c r="R72" s="6">
        <f t="shared" ref="R72:R108" si="18">IF($M72&lt;cl,((gamma)^($M72))/(FACT($M72)),0)</f>
        <v>0</v>
      </c>
      <c r="S72" s="6">
        <f t="shared" si="15"/>
        <v>0</v>
      </c>
      <c r="T72" s="6"/>
      <c r="U72" s="14"/>
      <c r="V72" s="37" t="e">
        <f t="shared" si="9"/>
        <v>#VALUE!</v>
      </c>
      <c r="W72" s="6" t="e">
        <f t="shared" si="4"/>
        <v>#VALUE!</v>
      </c>
      <c r="X72" s="6"/>
      <c r="Y72" s="6">
        <f t="shared" si="5"/>
        <v>0</v>
      </c>
      <c r="Z72" s="14" t="e">
        <f t="shared" si="6"/>
        <v>#VALUE!</v>
      </c>
      <c r="AA72" s="13" t="e">
        <f t="shared" si="16"/>
        <v>#VALUE!</v>
      </c>
      <c r="AB72" s="6"/>
      <c r="AC72" s="6"/>
      <c r="AD72" s="6"/>
      <c r="AE72" s="14"/>
    </row>
    <row r="73" spans="1:31" ht="11.25" customHeight="1" x14ac:dyDescent="0.25">
      <c r="A73" s="41"/>
      <c r="B73" s="41"/>
      <c r="C73" s="41"/>
      <c r="D73" s="43"/>
      <c r="E73" s="41"/>
      <c r="F73" s="41"/>
      <c r="G73" s="41"/>
      <c r="H73" s="41"/>
      <c r="I73" s="41"/>
      <c r="J73" s="44"/>
      <c r="K73" s="110"/>
      <c r="L73" s="41"/>
      <c r="M73" s="118">
        <v>65</v>
      </c>
      <c r="N73" s="119" t="e">
        <f t="shared" si="17"/>
        <v>#VALUE!</v>
      </c>
      <c r="O73" s="119" t="e">
        <f t="shared" si="8"/>
        <v>#VALUE!</v>
      </c>
      <c r="Q73" s="13">
        <f t="shared" ref="Q73:Q108" si="19">IF($M73&lt;=cl,$Q72*gamma/cl,IF(AND(cl&lt;$M73,$M73&lt;=esp),$Q72*gamma/cl,0))</f>
        <v>0</v>
      </c>
      <c r="R73" s="6">
        <f t="shared" si="18"/>
        <v>0</v>
      </c>
      <c r="S73" s="6">
        <f t="shared" ref="S73:S108" si="20">IF(cl&gt;1,IF($M73&lt;cl,(((cl-M73)/cl)*$V73),0),IF($M73&lt;cl,(((cl-M73)/cl)*AA73),0))</f>
        <v>0</v>
      </c>
      <c r="T73" s="6"/>
      <c r="U73" s="14"/>
      <c r="V73" s="37" t="e">
        <f t="shared" si="9"/>
        <v>#VALUE!</v>
      </c>
      <c r="W73" s="6" t="e">
        <f t="shared" ref="W73:W108" si="21">IF($M73&lt;=$E$8,(($K$28^$M73)/FACT($M73)),IF($M73&lt;=$E$11,(($K$28^($M73))/((FACT($E$8))*($E$8^(M73-$E$11)))),0))</f>
        <v>#VALUE!</v>
      </c>
      <c r="X73" s="6"/>
      <c r="Y73" s="6">
        <f t="shared" ref="Y73:Y108" si="22">IF($M73&lt;=$E$8,W73,0)</f>
        <v>0</v>
      </c>
      <c r="Z73" s="14" t="e">
        <f t="shared" ref="Z73:Z108" si="23">IF(AND($M73&gt;$E$8,$M73&lt;=$E$11),($K$29^(M73-$E$8)),0)</f>
        <v>#VALUE!</v>
      </c>
      <c r="AA73" s="13" t="e">
        <f t="shared" ref="AA73:AA108" si="24">IF(M73&lt;=$E$11,$AC$9*(($K$28)^(M73)),0)</f>
        <v>#VALUE!</v>
      </c>
      <c r="AB73" s="6"/>
      <c r="AC73" s="6"/>
      <c r="AD73" s="6"/>
      <c r="AE73" s="14"/>
    </row>
    <row r="74" spans="1:31" ht="11.25" customHeight="1" x14ac:dyDescent="0.25">
      <c r="A74" s="41"/>
      <c r="B74" s="41"/>
      <c r="C74" s="41"/>
      <c r="D74" s="43"/>
      <c r="E74" s="41"/>
      <c r="F74" s="41"/>
      <c r="G74" s="41"/>
      <c r="H74" s="41"/>
      <c r="I74" s="41"/>
      <c r="J74" s="44"/>
      <c r="K74" s="110"/>
      <c r="L74" s="41"/>
      <c r="M74" s="118">
        <v>66</v>
      </c>
      <c r="N74" s="119" t="e">
        <f t="shared" si="17"/>
        <v>#VALUE!</v>
      </c>
      <c r="O74" s="119" t="e">
        <f t="shared" ref="O74:O108" si="25">IF(OR(O73=1,O73=0),0,O73+N74)</f>
        <v>#VALUE!</v>
      </c>
      <c r="Q74" s="13">
        <f t="shared" si="19"/>
        <v>0</v>
      </c>
      <c r="R74" s="6">
        <f t="shared" si="18"/>
        <v>0</v>
      </c>
      <c r="S74" s="6">
        <f t="shared" si="20"/>
        <v>0</v>
      </c>
      <c r="T74" s="6"/>
      <c r="U74" s="14"/>
      <c r="V74" s="37" t="e">
        <f t="shared" ref="V74:V108" si="26">IF(M74&lt;=$E$8,W74*$V$8,IF(M74&lt;=$E$11,(($K$28^M74)/((FACT($E$8))*($E$8^(M74-$E$8))))*$V$8,0))</f>
        <v>#VALUE!</v>
      </c>
      <c r="W74" s="6" t="e">
        <f t="shared" si="21"/>
        <v>#VALUE!</v>
      </c>
      <c r="X74" s="6"/>
      <c r="Y74" s="6">
        <f t="shared" si="22"/>
        <v>0</v>
      </c>
      <c r="Z74" s="14" t="e">
        <f t="shared" si="23"/>
        <v>#VALUE!</v>
      </c>
      <c r="AA74" s="13" t="e">
        <f t="shared" si="24"/>
        <v>#VALUE!</v>
      </c>
      <c r="AB74" s="6"/>
      <c r="AC74" s="6"/>
      <c r="AD74" s="6"/>
      <c r="AE74" s="14"/>
    </row>
    <row r="75" spans="1:31" ht="11.25" customHeight="1" x14ac:dyDescent="0.25">
      <c r="A75" s="41"/>
      <c r="B75" s="41"/>
      <c r="C75" s="41"/>
      <c r="D75" s="43"/>
      <c r="E75" s="41"/>
      <c r="F75" s="41"/>
      <c r="G75" s="41"/>
      <c r="H75" s="41"/>
      <c r="I75" s="41"/>
      <c r="J75" s="44"/>
      <c r="K75" s="110"/>
      <c r="L75" s="41"/>
      <c r="M75" s="118">
        <v>67</v>
      </c>
      <c r="N75" s="119" t="e">
        <f t="shared" si="17"/>
        <v>#VALUE!</v>
      </c>
      <c r="O75" s="119" t="e">
        <f t="shared" si="25"/>
        <v>#VALUE!</v>
      </c>
      <c r="Q75" s="13">
        <f t="shared" si="19"/>
        <v>0</v>
      </c>
      <c r="R75" s="6">
        <f t="shared" si="18"/>
        <v>0</v>
      </c>
      <c r="S75" s="6">
        <f t="shared" si="20"/>
        <v>0</v>
      </c>
      <c r="T75" s="6"/>
      <c r="U75" s="14"/>
      <c r="V75" s="37" t="e">
        <f t="shared" si="26"/>
        <v>#VALUE!</v>
      </c>
      <c r="W75" s="6" t="e">
        <f t="shared" si="21"/>
        <v>#VALUE!</v>
      </c>
      <c r="X75" s="6"/>
      <c r="Y75" s="6">
        <f t="shared" si="22"/>
        <v>0</v>
      </c>
      <c r="Z75" s="14" t="e">
        <f t="shared" si="23"/>
        <v>#VALUE!</v>
      </c>
      <c r="AA75" s="13" t="e">
        <f t="shared" si="24"/>
        <v>#VALUE!</v>
      </c>
      <c r="AB75" s="6"/>
      <c r="AC75" s="6"/>
      <c r="AD75" s="6"/>
      <c r="AE75" s="14"/>
    </row>
    <row r="76" spans="1:31" ht="11.25" customHeight="1" x14ac:dyDescent="0.25">
      <c r="A76" s="41"/>
      <c r="B76" s="41"/>
      <c r="C76" s="41"/>
      <c r="D76" s="43"/>
      <c r="E76" s="41"/>
      <c r="F76" s="41"/>
      <c r="G76" s="41"/>
      <c r="H76" s="41"/>
      <c r="I76" s="41"/>
      <c r="J76" s="44"/>
      <c r="K76" s="110"/>
      <c r="L76" s="41"/>
      <c r="M76" s="118">
        <v>68</v>
      </c>
      <c r="N76" s="119" t="e">
        <f t="shared" si="17"/>
        <v>#VALUE!</v>
      </c>
      <c r="O76" s="119" t="e">
        <f t="shared" si="25"/>
        <v>#VALUE!</v>
      </c>
      <c r="Q76" s="13">
        <f t="shared" si="19"/>
        <v>0</v>
      </c>
      <c r="R76" s="6">
        <f t="shared" si="18"/>
        <v>0</v>
      </c>
      <c r="S76" s="6">
        <f t="shared" si="20"/>
        <v>0</v>
      </c>
      <c r="T76" s="6"/>
      <c r="U76" s="14"/>
      <c r="V76" s="37" t="e">
        <f t="shared" si="26"/>
        <v>#VALUE!</v>
      </c>
      <c r="W76" s="6" t="e">
        <f t="shared" si="21"/>
        <v>#VALUE!</v>
      </c>
      <c r="X76" s="6"/>
      <c r="Y76" s="6">
        <f t="shared" si="22"/>
        <v>0</v>
      </c>
      <c r="Z76" s="14" t="e">
        <f t="shared" si="23"/>
        <v>#VALUE!</v>
      </c>
      <c r="AA76" s="13" t="e">
        <f t="shared" si="24"/>
        <v>#VALUE!</v>
      </c>
      <c r="AB76" s="6"/>
      <c r="AC76" s="6"/>
      <c r="AD76" s="6"/>
      <c r="AE76" s="14"/>
    </row>
    <row r="77" spans="1:31" ht="11.25" customHeight="1" x14ac:dyDescent="0.25">
      <c r="A77" s="41"/>
      <c r="B77" s="41"/>
      <c r="C77" s="41"/>
      <c r="D77" s="43"/>
      <c r="E77" s="41"/>
      <c r="F77" s="41"/>
      <c r="G77" s="41"/>
      <c r="H77" s="41"/>
      <c r="I77" s="41"/>
      <c r="J77" s="44"/>
      <c r="K77" s="110"/>
      <c r="L77" s="41"/>
      <c r="M77" s="118">
        <v>69</v>
      </c>
      <c r="N77" s="119" t="e">
        <f t="shared" si="17"/>
        <v>#VALUE!</v>
      </c>
      <c r="O77" s="119" t="e">
        <f t="shared" si="25"/>
        <v>#VALUE!</v>
      </c>
      <c r="Q77" s="13">
        <f t="shared" si="19"/>
        <v>0</v>
      </c>
      <c r="R77" s="6">
        <f t="shared" si="18"/>
        <v>0</v>
      </c>
      <c r="S77" s="6">
        <f t="shared" si="20"/>
        <v>0</v>
      </c>
      <c r="T77" s="6"/>
      <c r="U77" s="14"/>
      <c r="V77" s="37" t="e">
        <f t="shared" si="26"/>
        <v>#VALUE!</v>
      </c>
      <c r="W77" s="6" t="e">
        <f t="shared" si="21"/>
        <v>#VALUE!</v>
      </c>
      <c r="X77" s="6"/>
      <c r="Y77" s="6">
        <f t="shared" si="22"/>
        <v>0</v>
      </c>
      <c r="Z77" s="14" t="e">
        <f t="shared" si="23"/>
        <v>#VALUE!</v>
      </c>
      <c r="AA77" s="13" t="e">
        <f t="shared" si="24"/>
        <v>#VALUE!</v>
      </c>
      <c r="AB77" s="6"/>
      <c r="AC77" s="6"/>
      <c r="AD77" s="6"/>
      <c r="AE77" s="14"/>
    </row>
    <row r="78" spans="1:31" ht="11.25" customHeight="1" x14ac:dyDescent="0.25">
      <c r="A78" s="41"/>
      <c r="B78" s="41"/>
      <c r="C78" s="41"/>
      <c r="D78" s="43"/>
      <c r="E78" s="41"/>
      <c r="F78" s="41"/>
      <c r="G78" s="41"/>
      <c r="H78" s="41"/>
      <c r="I78" s="41"/>
      <c r="J78" s="44"/>
      <c r="K78" s="110"/>
      <c r="L78" s="41"/>
      <c r="M78" s="118">
        <v>70</v>
      </c>
      <c r="N78" s="119" t="e">
        <f t="shared" si="17"/>
        <v>#VALUE!</v>
      </c>
      <c r="O78" s="119" t="e">
        <f t="shared" si="25"/>
        <v>#VALUE!</v>
      </c>
      <c r="Q78" s="13">
        <f t="shared" si="19"/>
        <v>0</v>
      </c>
      <c r="R78" s="6">
        <f t="shared" si="18"/>
        <v>0</v>
      </c>
      <c r="S78" s="6">
        <f t="shared" si="20"/>
        <v>0</v>
      </c>
      <c r="T78" s="6"/>
      <c r="U78" s="14"/>
      <c r="V78" s="37" t="e">
        <f t="shared" si="26"/>
        <v>#VALUE!</v>
      </c>
      <c r="W78" s="6" t="e">
        <f t="shared" si="21"/>
        <v>#VALUE!</v>
      </c>
      <c r="X78" s="6"/>
      <c r="Y78" s="6">
        <f t="shared" si="22"/>
        <v>0</v>
      </c>
      <c r="Z78" s="14" t="e">
        <f t="shared" si="23"/>
        <v>#VALUE!</v>
      </c>
      <c r="AA78" s="13" t="e">
        <f t="shared" si="24"/>
        <v>#VALUE!</v>
      </c>
      <c r="AB78" s="6"/>
      <c r="AC78" s="6"/>
      <c r="AD78" s="6"/>
      <c r="AE78" s="14"/>
    </row>
    <row r="79" spans="1:31" ht="11.25" customHeight="1" x14ac:dyDescent="0.25">
      <c r="A79" s="41"/>
      <c r="B79" s="41"/>
      <c r="C79" s="41"/>
      <c r="D79" s="43"/>
      <c r="E79" s="41"/>
      <c r="F79" s="41"/>
      <c r="G79" s="41"/>
      <c r="H79" s="41"/>
      <c r="I79" s="41"/>
      <c r="J79" s="44"/>
      <c r="K79" s="110"/>
      <c r="L79" s="41"/>
      <c r="M79" s="118">
        <v>71</v>
      </c>
      <c r="N79" s="119" t="e">
        <f t="shared" si="17"/>
        <v>#VALUE!</v>
      </c>
      <c r="O79" s="119" t="e">
        <f t="shared" si="25"/>
        <v>#VALUE!</v>
      </c>
      <c r="Q79" s="13">
        <f t="shared" si="19"/>
        <v>0</v>
      </c>
      <c r="R79" s="6">
        <f t="shared" si="18"/>
        <v>0</v>
      </c>
      <c r="S79" s="6">
        <f t="shared" si="20"/>
        <v>0</v>
      </c>
      <c r="T79" s="6"/>
      <c r="U79" s="14"/>
      <c r="V79" s="37" t="e">
        <f t="shared" si="26"/>
        <v>#VALUE!</v>
      </c>
      <c r="W79" s="6" t="e">
        <f t="shared" si="21"/>
        <v>#VALUE!</v>
      </c>
      <c r="X79" s="6"/>
      <c r="Y79" s="6">
        <f t="shared" si="22"/>
        <v>0</v>
      </c>
      <c r="Z79" s="14" t="e">
        <f t="shared" si="23"/>
        <v>#VALUE!</v>
      </c>
      <c r="AA79" s="13" t="e">
        <f t="shared" si="24"/>
        <v>#VALUE!</v>
      </c>
      <c r="AB79" s="6"/>
      <c r="AC79" s="6"/>
      <c r="AD79" s="6"/>
      <c r="AE79" s="14"/>
    </row>
    <row r="80" spans="1:31" ht="11.25" customHeight="1" x14ac:dyDescent="0.25">
      <c r="A80" s="41"/>
      <c r="B80" s="41"/>
      <c r="C80" s="41"/>
      <c r="D80" s="43"/>
      <c r="E80" s="41"/>
      <c r="F80" s="41"/>
      <c r="G80" s="41"/>
      <c r="H80" s="41"/>
      <c r="I80" s="41"/>
      <c r="J80" s="44"/>
      <c r="K80" s="110"/>
      <c r="L80" s="41"/>
      <c r="M80" s="118">
        <v>72</v>
      </c>
      <c r="N80" s="119" t="e">
        <f t="shared" si="17"/>
        <v>#VALUE!</v>
      </c>
      <c r="O80" s="119" t="e">
        <f t="shared" si="25"/>
        <v>#VALUE!</v>
      </c>
      <c r="Q80" s="13">
        <f t="shared" si="19"/>
        <v>0</v>
      </c>
      <c r="R80" s="6">
        <f t="shared" si="18"/>
        <v>0</v>
      </c>
      <c r="S80" s="6">
        <f t="shared" si="20"/>
        <v>0</v>
      </c>
      <c r="T80" s="6"/>
      <c r="U80" s="14"/>
      <c r="V80" s="37" t="e">
        <f t="shared" si="26"/>
        <v>#VALUE!</v>
      </c>
      <c r="W80" s="6" t="e">
        <f t="shared" si="21"/>
        <v>#VALUE!</v>
      </c>
      <c r="X80" s="6"/>
      <c r="Y80" s="6">
        <f t="shared" si="22"/>
        <v>0</v>
      </c>
      <c r="Z80" s="14" t="e">
        <f t="shared" si="23"/>
        <v>#VALUE!</v>
      </c>
      <c r="AA80" s="13" t="e">
        <f t="shared" si="24"/>
        <v>#VALUE!</v>
      </c>
      <c r="AB80" s="6"/>
      <c r="AC80" s="6"/>
      <c r="AD80" s="6"/>
      <c r="AE80" s="14"/>
    </row>
    <row r="81" spans="1:31" ht="11.25" customHeight="1" x14ac:dyDescent="0.25">
      <c r="A81" s="41"/>
      <c r="B81" s="41"/>
      <c r="C81" s="41"/>
      <c r="D81" s="43"/>
      <c r="E81" s="41"/>
      <c r="F81" s="41"/>
      <c r="G81" s="41"/>
      <c r="H81" s="41"/>
      <c r="I81" s="41"/>
      <c r="J81" s="44"/>
      <c r="K81" s="110"/>
      <c r="L81" s="41"/>
      <c r="M81" s="118">
        <v>73</v>
      </c>
      <c r="N81" s="119" t="e">
        <f t="shared" si="17"/>
        <v>#VALUE!</v>
      </c>
      <c r="O81" s="119" t="e">
        <f t="shared" si="25"/>
        <v>#VALUE!</v>
      </c>
      <c r="Q81" s="13">
        <f t="shared" si="19"/>
        <v>0</v>
      </c>
      <c r="R81" s="6">
        <f t="shared" si="18"/>
        <v>0</v>
      </c>
      <c r="S81" s="6">
        <f t="shared" si="20"/>
        <v>0</v>
      </c>
      <c r="T81" s="6"/>
      <c r="U81" s="14"/>
      <c r="V81" s="37" t="e">
        <f t="shared" si="26"/>
        <v>#VALUE!</v>
      </c>
      <c r="W81" s="6" t="e">
        <f t="shared" si="21"/>
        <v>#VALUE!</v>
      </c>
      <c r="X81" s="6"/>
      <c r="Y81" s="6">
        <f t="shared" si="22"/>
        <v>0</v>
      </c>
      <c r="Z81" s="14" t="e">
        <f t="shared" si="23"/>
        <v>#VALUE!</v>
      </c>
      <c r="AA81" s="13" t="e">
        <f t="shared" si="24"/>
        <v>#VALUE!</v>
      </c>
      <c r="AB81" s="6"/>
      <c r="AC81" s="6"/>
      <c r="AD81" s="6"/>
      <c r="AE81" s="14"/>
    </row>
    <row r="82" spans="1:31" ht="11.25" customHeight="1" x14ac:dyDescent="0.25">
      <c r="A82" s="41"/>
      <c r="B82" s="41"/>
      <c r="C82" s="41"/>
      <c r="D82" s="43"/>
      <c r="E82" s="41"/>
      <c r="F82" s="41"/>
      <c r="G82" s="41"/>
      <c r="H82" s="41"/>
      <c r="I82" s="41"/>
      <c r="J82" s="44"/>
      <c r="K82" s="110"/>
      <c r="L82" s="41"/>
      <c r="M82" s="118">
        <v>74</v>
      </c>
      <c r="N82" s="119" t="e">
        <f t="shared" si="17"/>
        <v>#VALUE!</v>
      </c>
      <c r="O82" s="119" t="e">
        <f t="shared" si="25"/>
        <v>#VALUE!</v>
      </c>
      <c r="Q82" s="13">
        <f t="shared" si="19"/>
        <v>0</v>
      </c>
      <c r="R82" s="6">
        <f t="shared" si="18"/>
        <v>0</v>
      </c>
      <c r="S82" s="6">
        <f t="shared" si="20"/>
        <v>0</v>
      </c>
      <c r="T82" s="6"/>
      <c r="U82" s="14"/>
      <c r="V82" s="37" t="e">
        <f t="shared" si="26"/>
        <v>#VALUE!</v>
      </c>
      <c r="W82" s="6" t="e">
        <f t="shared" si="21"/>
        <v>#VALUE!</v>
      </c>
      <c r="X82" s="6"/>
      <c r="Y82" s="6">
        <f t="shared" si="22"/>
        <v>0</v>
      </c>
      <c r="Z82" s="14" t="e">
        <f t="shared" si="23"/>
        <v>#VALUE!</v>
      </c>
      <c r="AA82" s="13" t="e">
        <f t="shared" si="24"/>
        <v>#VALUE!</v>
      </c>
      <c r="AB82" s="6"/>
      <c r="AC82" s="6"/>
      <c r="AD82" s="6"/>
      <c r="AE82" s="14"/>
    </row>
    <row r="83" spans="1:31" ht="11.25" customHeight="1" x14ac:dyDescent="0.25">
      <c r="A83" s="41"/>
      <c r="B83" s="41"/>
      <c r="C83" s="41"/>
      <c r="D83" s="43"/>
      <c r="E83" s="41"/>
      <c r="F83" s="41"/>
      <c r="G83" s="41"/>
      <c r="H83" s="41"/>
      <c r="I83" s="41"/>
      <c r="J83" s="44"/>
      <c r="K83" s="110"/>
      <c r="L83" s="41"/>
      <c r="M83" s="118">
        <v>75</v>
      </c>
      <c r="N83" s="119" t="e">
        <f t="shared" si="17"/>
        <v>#VALUE!</v>
      </c>
      <c r="O83" s="119" t="e">
        <f t="shared" si="25"/>
        <v>#VALUE!</v>
      </c>
      <c r="Q83" s="13">
        <f t="shared" si="19"/>
        <v>0</v>
      </c>
      <c r="R83" s="6">
        <f t="shared" si="18"/>
        <v>0</v>
      </c>
      <c r="S83" s="6">
        <f t="shared" si="20"/>
        <v>0</v>
      </c>
      <c r="T83" s="6"/>
      <c r="U83" s="14"/>
      <c r="V83" s="37" t="e">
        <f t="shared" si="26"/>
        <v>#VALUE!</v>
      </c>
      <c r="W83" s="6" t="e">
        <f t="shared" si="21"/>
        <v>#VALUE!</v>
      </c>
      <c r="X83" s="6"/>
      <c r="Y83" s="6">
        <f t="shared" si="22"/>
        <v>0</v>
      </c>
      <c r="Z83" s="14" t="e">
        <f t="shared" si="23"/>
        <v>#VALUE!</v>
      </c>
      <c r="AA83" s="13" t="e">
        <f t="shared" si="24"/>
        <v>#VALUE!</v>
      </c>
      <c r="AB83" s="6"/>
      <c r="AC83" s="6"/>
      <c r="AD83" s="6"/>
      <c r="AE83" s="14"/>
    </row>
    <row r="84" spans="1:31" ht="11.25" customHeight="1" x14ac:dyDescent="0.25">
      <c r="A84" s="41"/>
      <c r="B84" s="41"/>
      <c r="C84" s="41"/>
      <c r="D84" s="43"/>
      <c r="E84" s="41"/>
      <c r="F84" s="41"/>
      <c r="G84" s="41"/>
      <c r="H84" s="41"/>
      <c r="I84" s="41"/>
      <c r="J84" s="44"/>
      <c r="K84" s="110"/>
      <c r="L84" s="41"/>
      <c r="M84" s="118">
        <v>76</v>
      </c>
      <c r="N84" s="119" t="e">
        <f t="shared" si="17"/>
        <v>#VALUE!</v>
      </c>
      <c r="O84" s="119" t="e">
        <f t="shared" si="25"/>
        <v>#VALUE!</v>
      </c>
      <c r="Q84" s="13">
        <f t="shared" si="19"/>
        <v>0</v>
      </c>
      <c r="R84" s="6">
        <f t="shared" si="18"/>
        <v>0</v>
      </c>
      <c r="S84" s="6">
        <f t="shared" si="20"/>
        <v>0</v>
      </c>
      <c r="T84" s="6"/>
      <c r="U84" s="14"/>
      <c r="V84" s="37" t="e">
        <f t="shared" si="26"/>
        <v>#VALUE!</v>
      </c>
      <c r="W84" s="6" t="e">
        <f t="shared" si="21"/>
        <v>#VALUE!</v>
      </c>
      <c r="X84" s="6"/>
      <c r="Y84" s="6">
        <f t="shared" si="22"/>
        <v>0</v>
      </c>
      <c r="Z84" s="14" t="e">
        <f t="shared" si="23"/>
        <v>#VALUE!</v>
      </c>
      <c r="AA84" s="13" t="e">
        <f t="shared" si="24"/>
        <v>#VALUE!</v>
      </c>
      <c r="AB84" s="6"/>
      <c r="AC84" s="6"/>
      <c r="AD84" s="6"/>
      <c r="AE84" s="14"/>
    </row>
    <row r="85" spans="1:31" ht="11.25" customHeight="1" x14ac:dyDescent="0.25">
      <c r="A85" s="41"/>
      <c r="B85" s="41"/>
      <c r="C85" s="41"/>
      <c r="D85" s="43"/>
      <c r="E85" s="41"/>
      <c r="F85" s="41"/>
      <c r="G85" s="41"/>
      <c r="H85" s="41"/>
      <c r="I85" s="41"/>
      <c r="J85" s="44"/>
      <c r="K85" s="110"/>
      <c r="L85" s="41"/>
      <c r="M85" s="118">
        <v>77</v>
      </c>
      <c r="N85" s="119" t="e">
        <f t="shared" si="17"/>
        <v>#VALUE!</v>
      </c>
      <c r="O85" s="119" t="e">
        <f t="shared" si="25"/>
        <v>#VALUE!</v>
      </c>
      <c r="Q85" s="13">
        <f t="shared" si="19"/>
        <v>0</v>
      </c>
      <c r="R85" s="6">
        <f t="shared" si="18"/>
        <v>0</v>
      </c>
      <c r="S85" s="6">
        <f t="shared" si="20"/>
        <v>0</v>
      </c>
      <c r="T85" s="6"/>
      <c r="U85" s="14"/>
      <c r="V85" s="37" t="e">
        <f t="shared" si="26"/>
        <v>#VALUE!</v>
      </c>
      <c r="W85" s="6" t="e">
        <f t="shared" si="21"/>
        <v>#VALUE!</v>
      </c>
      <c r="X85" s="6"/>
      <c r="Y85" s="6">
        <f t="shared" si="22"/>
        <v>0</v>
      </c>
      <c r="Z85" s="14" t="e">
        <f t="shared" si="23"/>
        <v>#VALUE!</v>
      </c>
      <c r="AA85" s="13" t="e">
        <f t="shared" si="24"/>
        <v>#VALUE!</v>
      </c>
      <c r="AB85" s="6"/>
      <c r="AC85" s="6"/>
      <c r="AD85" s="6"/>
      <c r="AE85" s="14"/>
    </row>
    <row r="86" spans="1:31" ht="11.25" customHeight="1" x14ac:dyDescent="0.25">
      <c r="A86" s="41"/>
      <c r="B86" s="41"/>
      <c r="C86" s="41"/>
      <c r="D86" s="43"/>
      <c r="E86" s="41"/>
      <c r="F86" s="41"/>
      <c r="G86" s="41"/>
      <c r="H86" s="41"/>
      <c r="I86" s="41"/>
      <c r="J86" s="44"/>
      <c r="K86" s="110"/>
      <c r="L86" s="41"/>
      <c r="M86" s="118">
        <v>78</v>
      </c>
      <c r="N86" s="119" t="e">
        <f t="shared" si="17"/>
        <v>#VALUE!</v>
      </c>
      <c r="O86" s="119" t="e">
        <f t="shared" si="25"/>
        <v>#VALUE!</v>
      </c>
      <c r="Q86" s="13">
        <f t="shared" si="19"/>
        <v>0</v>
      </c>
      <c r="R86" s="6">
        <f t="shared" si="18"/>
        <v>0</v>
      </c>
      <c r="S86" s="6">
        <f t="shared" si="20"/>
        <v>0</v>
      </c>
      <c r="T86" s="6"/>
      <c r="U86" s="14"/>
      <c r="V86" s="37" t="e">
        <f t="shared" si="26"/>
        <v>#VALUE!</v>
      </c>
      <c r="W86" s="6" t="e">
        <f t="shared" si="21"/>
        <v>#VALUE!</v>
      </c>
      <c r="X86" s="6"/>
      <c r="Y86" s="6">
        <f t="shared" si="22"/>
        <v>0</v>
      </c>
      <c r="Z86" s="14" t="e">
        <f t="shared" si="23"/>
        <v>#VALUE!</v>
      </c>
      <c r="AA86" s="13" t="e">
        <f t="shared" si="24"/>
        <v>#VALUE!</v>
      </c>
      <c r="AB86" s="6"/>
      <c r="AC86" s="6"/>
      <c r="AD86" s="6"/>
      <c r="AE86" s="14"/>
    </row>
    <row r="87" spans="1:31" ht="11.25" customHeight="1" x14ac:dyDescent="0.25">
      <c r="A87" s="41"/>
      <c r="B87" s="41"/>
      <c r="C87" s="41"/>
      <c r="D87" s="43"/>
      <c r="E87" s="41"/>
      <c r="F87" s="41"/>
      <c r="G87" s="41"/>
      <c r="H87" s="41"/>
      <c r="I87" s="41"/>
      <c r="J87" s="44"/>
      <c r="K87" s="110"/>
      <c r="L87" s="41"/>
      <c r="M87" s="118">
        <v>79</v>
      </c>
      <c r="N87" s="119" t="e">
        <f t="shared" si="17"/>
        <v>#VALUE!</v>
      </c>
      <c r="O87" s="119" t="e">
        <f t="shared" si="25"/>
        <v>#VALUE!</v>
      </c>
      <c r="Q87" s="13">
        <f t="shared" si="19"/>
        <v>0</v>
      </c>
      <c r="R87" s="6">
        <f t="shared" si="18"/>
        <v>0</v>
      </c>
      <c r="S87" s="6">
        <f t="shared" si="20"/>
        <v>0</v>
      </c>
      <c r="T87" s="6"/>
      <c r="U87" s="14"/>
      <c r="V87" s="37" t="e">
        <f t="shared" si="26"/>
        <v>#VALUE!</v>
      </c>
      <c r="W87" s="6" t="e">
        <f t="shared" si="21"/>
        <v>#VALUE!</v>
      </c>
      <c r="X87" s="6"/>
      <c r="Y87" s="6">
        <f t="shared" si="22"/>
        <v>0</v>
      </c>
      <c r="Z87" s="14" t="e">
        <f t="shared" si="23"/>
        <v>#VALUE!</v>
      </c>
      <c r="AA87" s="13" t="e">
        <f t="shared" si="24"/>
        <v>#VALUE!</v>
      </c>
      <c r="AB87" s="6"/>
      <c r="AC87" s="6"/>
      <c r="AD87" s="6"/>
      <c r="AE87" s="14"/>
    </row>
    <row r="88" spans="1:31" ht="11.25" customHeight="1" x14ac:dyDescent="0.25">
      <c r="A88" s="41"/>
      <c r="B88" s="41"/>
      <c r="C88" s="41"/>
      <c r="D88" s="43"/>
      <c r="E88" s="41"/>
      <c r="F88" s="41"/>
      <c r="G88" s="41"/>
      <c r="H88" s="41"/>
      <c r="I88" s="41"/>
      <c r="J88" s="44"/>
      <c r="K88" s="110"/>
      <c r="L88" s="41"/>
      <c r="M88" s="118">
        <v>80</v>
      </c>
      <c r="N88" s="119" t="e">
        <f t="shared" si="17"/>
        <v>#VALUE!</v>
      </c>
      <c r="O88" s="119" t="e">
        <f t="shared" si="25"/>
        <v>#VALUE!</v>
      </c>
      <c r="Q88" s="13">
        <f t="shared" si="19"/>
        <v>0</v>
      </c>
      <c r="R88" s="6">
        <f t="shared" si="18"/>
        <v>0</v>
      </c>
      <c r="S88" s="6">
        <f t="shared" si="20"/>
        <v>0</v>
      </c>
      <c r="T88" s="6"/>
      <c r="U88" s="14"/>
      <c r="V88" s="37" t="e">
        <f t="shared" si="26"/>
        <v>#VALUE!</v>
      </c>
      <c r="W88" s="6" t="e">
        <f t="shared" si="21"/>
        <v>#VALUE!</v>
      </c>
      <c r="X88" s="6"/>
      <c r="Y88" s="6">
        <f t="shared" si="22"/>
        <v>0</v>
      </c>
      <c r="Z88" s="14" t="e">
        <f t="shared" si="23"/>
        <v>#VALUE!</v>
      </c>
      <c r="AA88" s="13" t="e">
        <f t="shared" si="24"/>
        <v>#VALUE!</v>
      </c>
      <c r="AB88" s="6"/>
      <c r="AC88" s="6"/>
      <c r="AD88" s="6"/>
      <c r="AE88" s="14"/>
    </row>
    <row r="89" spans="1:31" ht="11.25" customHeight="1" x14ac:dyDescent="0.25">
      <c r="A89" s="41"/>
      <c r="B89" s="41"/>
      <c r="C89" s="41"/>
      <c r="D89" s="43"/>
      <c r="E89" s="41"/>
      <c r="F89" s="41"/>
      <c r="G89" s="41"/>
      <c r="H89" s="41"/>
      <c r="I89" s="41"/>
      <c r="J89" s="44"/>
      <c r="K89" s="110"/>
      <c r="L89" s="41"/>
      <c r="M89" s="118">
        <v>81</v>
      </c>
      <c r="N89" s="119" t="e">
        <f t="shared" si="17"/>
        <v>#VALUE!</v>
      </c>
      <c r="O89" s="119" t="e">
        <f t="shared" si="25"/>
        <v>#VALUE!</v>
      </c>
      <c r="Q89" s="13">
        <f t="shared" si="19"/>
        <v>0</v>
      </c>
      <c r="R89" s="6">
        <f t="shared" si="18"/>
        <v>0</v>
      </c>
      <c r="S89" s="6">
        <f t="shared" si="20"/>
        <v>0</v>
      </c>
      <c r="T89" s="6"/>
      <c r="U89" s="14"/>
      <c r="V89" s="37" t="e">
        <f t="shared" si="26"/>
        <v>#VALUE!</v>
      </c>
      <c r="W89" s="6" t="e">
        <f t="shared" si="21"/>
        <v>#VALUE!</v>
      </c>
      <c r="X89" s="6"/>
      <c r="Y89" s="6">
        <f t="shared" si="22"/>
        <v>0</v>
      </c>
      <c r="Z89" s="14" t="e">
        <f t="shared" si="23"/>
        <v>#VALUE!</v>
      </c>
      <c r="AA89" s="13" t="e">
        <f t="shared" si="24"/>
        <v>#VALUE!</v>
      </c>
      <c r="AB89" s="6"/>
      <c r="AC89" s="6"/>
      <c r="AD89" s="6"/>
      <c r="AE89" s="14"/>
    </row>
    <row r="90" spans="1:31" ht="11.25" customHeight="1" x14ac:dyDescent="0.25">
      <c r="A90" s="41"/>
      <c r="B90" s="41"/>
      <c r="C90" s="41"/>
      <c r="D90" s="43"/>
      <c r="E90" s="41"/>
      <c r="F90" s="41"/>
      <c r="G90" s="41"/>
      <c r="H90" s="41"/>
      <c r="I90" s="41"/>
      <c r="J90" s="44"/>
      <c r="K90" s="110"/>
      <c r="L90" s="41"/>
      <c r="M90" s="118">
        <v>82</v>
      </c>
      <c r="N90" s="119" t="e">
        <f t="shared" si="17"/>
        <v>#VALUE!</v>
      </c>
      <c r="O90" s="119" t="e">
        <f t="shared" si="25"/>
        <v>#VALUE!</v>
      </c>
      <c r="Q90" s="13">
        <f t="shared" si="19"/>
        <v>0</v>
      </c>
      <c r="R90" s="6">
        <f t="shared" si="18"/>
        <v>0</v>
      </c>
      <c r="S90" s="6">
        <f t="shared" si="20"/>
        <v>0</v>
      </c>
      <c r="T90" s="6"/>
      <c r="U90" s="14"/>
      <c r="V90" s="37" t="e">
        <f t="shared" si="26"/>
        <v>#VALUE!</v>
      </c>
      <c r="W90" s="6" t="e">
        <f t="shared" si="21"/>
        <v>#VALUE!</v>
      </c>
      <c r="X90" s="6"/>
      <c r="Y90" s="6">
        <f t="shared" si="22"/>
        <v>0</v>
      </c>
      <c r="Z90" s="14" t="e">
        <f t="shared" si="23"/>
        <v>#VALUE!</v>
      </c>
      <c r="AA90" s="13" t="e">
        <f t="shared" si="24"/>
        <v>#VALUE!</v>
      </c>
      <c r="AB90" s="6"/>
      <c r="AC90" s="6"/>
      <c r="AD90" s="6"/>
      <c r="AE90" s="14"/>
    </row>
    <row r="91" spans="1:31" ht="11.25" customHeight="1" x14ac:dyDescent="0.25">
      <c r="A91" s="41"/>
      <c r="B91" s="41"/>
      <c r="C91" s="41"/>
      <c r="D91" s="43"/>
      <c r="E91" s="41"/>
      <c r="F91" s="41"/>
      <c r="G91" s="41"/>
      <c r="H91" s="41"/>
      <c r="I91" s="41"/>
      <c r="J91" s="44"/>
      <c r="K91" s="110"/>
      <c r="L91" s="41"/>
      <c r="M91" s="118">
        <v>83</v>
      </c>
      <c r="N91" s="119" t="e">
        <f t="shared" si="17"/>
        <v>#VALUE!</v>
      </c>
      <c r="O91" s="119" t="e">
        <f t="shared" si="25"/>
        <v>#VALUE!</v>
      </c>
      <c r="Q91" s="13">
        <f t="shared" si="19"/>
        <v>0</v>
      </c>
      <c r="R91" s="6">
        <f t="shared" si="18"/>
        <v>0</v>
      </c>
      <c r="S91" s="6">
        <f t="shared" si="20"/>
        <v>0</v>
      </c>
      <c r="T91" s="6"/>
      <c r="U91" s="14"/>
      <c r="V91" s="37" t="e">
        <f t="shared" si="26"/>
        <v>#VALUE!</v>
      </c>
      <c r="W91" s="6" t="e">
        <f t="shared" si="21"/>
        <v>#VALUE!</v>
      </c>
      <c r="X91" s="6"/>
      <c r="Y91" s="6">
        <f t="shared" si="22"/>
        <v>0</v>
      </c>
      <c r="Z91" s="14" t="e">
        <f t="shared" si="23"/>
        <v>#VALUE!</v>
      </c>
      <c r="AA91" s="13" t="e">
        <f t="shared" si="24"/>
        <v>#VALUE!</v>
      </c>
      <c r="AB91" s="6"/>
      <c r="AC91" s="6"/>
      <c r="AD91" s="6"/>
      <c r="AE91" s="14"/>
    </row>
    <row r="92" spans="1:31" ht="11.25" customHeight="1" x14ac:dyDescent="0.25">
      <c r="A92" s="41"/>
      <c r="B92" s="41"/>
      <c r="C92" s="41"/>
      <c r="D92" s="43"/>
      <c r="E92" s="41"/>
      <c r="F92" s="41"/>
      <c r="G92" s="41"/>
      <c r="H92" s="41"/>
      <c r="I92" s="41"/>
      <c r="J92" s="44"/>
      <c r="K92" s="110"/>
      <c r="L92" s="41"/>
      <c r="M92" s="118">
        <v>84</v>
      </c>
      <c r="N92" s="119" t="e">
        <f t="shared" si="17"/>
        <v>#VALUE!</v>
      </c>
      <c r="O92" s="119" t="e">
        <f t="shared" si="25"/>
        <v>#VALUE!</v>
      </c>
      <c r="Q92" s="13">
        <f t="shared" si="19"/>
        <v>0</v>
      </c>
      <c r="R92" s="6">
        <f t="shared" si="18"/>
        <v>0</v>
      </c>
      <c r="S92" s="6">
        <f t="shared" si="20"/>
        <v>0</v>
      </c>
      <c r="T92" s="6"/>
      <c r="U92" s="14"/>
      <c r="V92" s="37" t="e">
        <f t="shared" si="26"/>
        <v>#VALUE!</v>
      </c>
      <c r="W92" s="6" t="e">
        <f t="shared" si="21"/>
        <v>#VALUE!</v>
      </c>
      <c r="X92" s="6"/>
      <c r="Y92" s="6">
        <f t="shared" si="22"/>
        <v>0</v>
      </c>
      <c r="Z92" s="14" t="e">
        <f t="shared" si="23"/>
        <v>#VALUE!</v>
      </c>
      <c r="AA92" s="13" t="e">
        <f t="shared" si="24"/>
        <v>#VALUE!</v>
      </c>
      <c r="AB92" s="6"/>
      <c r="AC92" s="6"/>
      <c r="AD92" s="6"/>
      <c r="AE92" s="14"/>
    </row>
    <row r="93" spans="1:31" ht="11.25" customHeight="1" x14ac:dyDescent="0.25">
      <c r="A93" s="41"/>
      <c r="B93" s="41"/>
      <c r="C93" s="41"/>
      <c r="D93" s="43"/>
      <c r="E93" s="41"/>
      <c r="F93" s="41"/>
      <c r="G93" s="41"/>
      <c r="H93" s="41"/>
      <c r="I93" s="41"/>
      <c r="J93" s="44"/>
      <c r="K93" s="110"/>
      <c r="L93" s="41"/>
      <c r="M93" s="118">
        <v>85</v>
      </c>
      <c r="N93" s="119" t="e">
        <f t="shared" si="17"/>
        <v>#VALUE!</v>
      </c>
      <c r="O93" s="119" t="e">
        <f t="shared" si="25"/>
        <v>#VALUE!</v>
      </c>
      <c r="Q93" s="13">
        <f t="shared" si="19"/>
        <v>0</v>
      </c>
      <c r="R93" s="6">
        <f t="shared" si="18"/>
        <v>0</v>
      </c>
      <c r="S93" s="6">
        <f t="shared" si="20"/>
        <v>0</v>
      </c>
      <c r="T93" s="6"/>
      <c r="U93" s="14"/>
      <c r="V93" s="37" t="e">
        <f t="shared" si="26"/>
        <v>#VALUE!</v>
      </c>
      <c r="W93" s="6" t="e">
        <f t="shared" si="21"/>
        <v>#VALUE!</v>
      </c>
      <c r="X93" s="6"/>
      <c r="Y93" s="6">
        <f t="shared" si="22"/>
        <v>0</v>
      </c>
      <c r="Z93" s="14" t="e">
        <f t="shared" si="23"/>
        <v>#VALUE!</v>
      </c>
      <c r="AA93" s="13" t="e">
        <f t="shared" si="24"/>
        <v>#VALUE!</v>
      </c>
      <c r="AB93" s="6"/>
      <c r="AC93" s="6"/>
      <c r="AD93" s="6"/>
      <c r="AE93" s="14"/>
    </row>
    <row r="94" spans="1:31" ht="11.25" customHeight="1" x14ac:dyDescent="0.25">
      <c r="A94" s="41"/>
      <c r="B94" s="41"/>
      <c r="C94" s="41"/>
      <c r="D94" s="43"/>
      <c r="E94" s="41"/>
      <c r="F94" s="41"/>
      <c r="G94" s="41"/>
      <c r="H94" s="41"/>
      <c r="I94" s="41"/>
      <c r="J94" s="44"/>
      <c r="K94" s="110"/>
      <c r="L94" s="41"/>
      <c r="M94" s="118">
        <v>86</v>
      </c>
      <c r="N94" s="119" t="e">
        <f t="shared" si="17"/>
        <v>#VALUE!</v>
      </c>
      <c r="O94" s="119" t="e">
        <f t="shared" si="25"/>
        <v>#VALUE!</v>
      </c>
      <c r="Q94" s="13">
        <f t="shared" si="19"/>
        <v>0</v>
      </c>
      <c r="R94" s="6">
        <f t="shared" si="18"/>
        <v>0</v>
      </c>
      <c r="S94" s="6">
        <f t="shared" si="20"/>
        <v>0</v>
      </c>
      <c r="T94" s="6"/>
      <c r="U94" s="14"/>
      <c r="V94" s="37" t="e">
        <f t="shared" si="26"/>
        <v>#VALUE!</v>
      </c>
      <c r="W94" s="6" t="e">
        <f t="shared" si="21"/>
        <v>#VALUE!</v>
      </c>
      <c r="X94" s="6"/>
      <c r="Y94" s="6">
        <f t="shared" si="22"/>
        <v>0</v>
      </c>
      <c r="Z94" s="14" t="e">
        <f t="shared" si="23"/>
        <v>#VALUE!</v>
      </c>
      <c r="AA94" s="13" t="e">
        <f t="shared" si="24"/>
        <v>#VALUE!</v>
      </c>
      <c r="AB94" s="6"/>
      <c r="AC94" s="6"/>
      <c r="AD94" s="6"/>
      <c r="AE94" s="14"/>
    </row>
    <row r="95" spans="1:31" ht="11.25" customHeight="1" x14ac:dyDescent="0.25">
      <c r="A95" s="41"/>
      <c r="B95" s="41"/>
      <c r="C95" s="41"/>
      <c r="D95" s="43"/>
      <c r="E95" s="41"/>
      <c r="F95" s="41"/>
      <c r="G95" s="41"/>
      <c r="H95" s="41"/>
      <c r="I95" s="41"/>
      <c r="J95" s="44"/>
      <c r="K95" s="110"/>
      <c r="L95" s="41"/>
      <c r="M95" s="118">
        <v>87</v>
      </c>
      <c r="N95" s="119" t="e">
        <f t="shared" si="17"/>
        <v>#VALUE!</v>
      </c>
      <c r="O95" s="119" t="e">
        <f t="shared" si="25"/>
        <v>#VALUE!</v>
      </c>
      <c r="Q95" s="13">
        <f t="shared" si="19"/>
        <v>0</v>
      </c>
      <c r="R95" s="6">
        <f t="shared" si="18"/>
        <v>0</v>
      </c>
      <c r="S95" s="6">
        <f t="shared" si="20"/>
        <v>0</v>
      </c>
      <c r="T95" s="6"/>
      <c r="U95" s="14"/>
      <c r="V95" s="37" t="e">
        <f t="shared" si="26"/>
        <v>#VALUE!</v>
      </c>
      <c r="W95" s="6" t="e">
        <f t="shared" si="21"/>
        <v>#VALUE!</v>
      </c>
      <c r="X95" s="6"/>
      <c r="Y95" s="6">
        <f t="shared" si="22"/>
        <v>0</v>
      </c>
      <c r="Z95" s="14" t="e">
        <f t="shared" si="23"/>
        <v>#VALUE!</v>
      </c>
      <c r="AA95" s="13" t="e">
        <f t="shared" si="24"/>
        <v>#VALUE!</v>
      </c>
      <c r="AB95" s="6"/>
      <c r="AC95" s="6"/>
      <c r="AD95" s="6"/>
      <c r="AE95" s="14"/>
    </row>
    <row r="96" spans="1:31" ht="11.25" customHeight="1" x14ac:dyDescent="0.25">
      <c r="A96" s="41"/>
      <c r="B96" s="41"/>
      <c r="C96" s="41"/>
      <c r="D96" s="43"/>
      <c r="E96" s="41"/>
      <c r="F96" s="41"/>
      <c r="G96" s="41"/>
      <c r="H96" s="41"/>
      <c r="I96" s="41"/>
      <c r="J96" s="44"/>
      <c r="K96" s="110"/>
      <c r="L96" s="41"/>
      <c r="M96" s="118">
        <v>88</v>
      </c>
      <c r="N96" s="119" t="e">
        <f t="shared" si="17"/>
        <v>#VALUE!</v>
      </c>
      <c r="O96" s="119" t="e">
        <f t="shared" si="25"/>
        <v>#VALUE!</v>
      </c>
      <c r="Q96" s="13">
        <f t="shared" si="19"/>
        <v>0</v>
      </c>
      <c r="R96" s="6">
        <f t="shared" si="18"/>
        <v>0</v>
      </c>
      <c r="S96" s="6">
        <f t="shared" si="20"/>
        <v>0</v>
      </c>
      <c r="T96" s="6"/>
      <c r="U96" s="14"/>
      <c r="V96" s="37" t="e">
        <f t="shared" si="26"/>
        <v>#VALUE!</v>
      </c>
      <c r="W96" s="6" t="e">
        <f t="shared" si="21"/>
        <v>#VALUE!</v>
      </c>
      <c r="X96" s="6"/>
      <c r="Y96" s="6">
        <f t="shared" si="22"/>
        <v>0</v>
      </c>
      <c r="Z96" s="14" t="e">
        <f t="shared" si="23"/>
        <v>#VALUE!</v>
      </c>
      <c r="AA96" s="13" t="e">
        <f t="shared" si="24"/>
        <v>#VALUE!</v>
      </c>
      <c r="AB96" s="6"/>
      <c r="AC96" s="6"/>
      <c r="AD96" s="6"/>
      <c r="AE96" s="14"/>
    </row>
    <row r="97" spans="1:31" ht="11.25" customHeight="1" x14ac:dyDescent="0.25">
      <c r="A97" s="41"/>
      <c r="B97" s="41"/>
      <c r="C97" s="41"/>
      <c r="D97" s="43"/>
      <c r="E97" s="41"/>
      <c r="F97" s="41"/>
      <c r="G97" s="41"/>
      <c r="H97" s="41"/>
      <c r="I97" s="41"/>
      <c r="J97" s="44"/>
      <c r="K97" s="110"/>
      <c r="L97" s="41"/>
      <c r="M97" s="118">
        <v>89</v>
      </c>
      <c r="N97" s="119" t="e">
        <f t="shared" si="17"/>
        <v>#VALUE!</v>
      </c>
      <c r="O97" s="119" t="e">
        <f t="shared" si="25"/>
        <v>#VALUE!</v>
      </c>
      <c r="Q97" s="13">
        <f t="shared" si="19"/>
        <v>0</v>
      </c>
      <c r="R97" s="6">
        <f t="shared" si="18"/>
        <v>0</v>
      </c>
      <c r="S97" s="6">
        <f t="shared" si="20"/>
        <v>0</v>
      </c>
      <c r="T97" s="6"/>
      <c r="U97" s="14"/>
      <c r="V97" s="37" t="e">
        <f t="shared" si="26"/>
        <v>#VALUE!</v>
      </c>
      <c r="W97" s="6" t="e">
        <f t="shared" si="21"/>
        <v>#VALUE!</v>
      </c>
      <c r="X97" s="6"/>
      <c r="Y97" s="6">
        <f t="shared" si="22"/>
        <v>0</v>
      </c>
      <c r="Z97" s="14" t="e">
        <f t="shared" si="23"/>
        <v>#VALUE!</v>
      </c>
      <c r="AA97" s="13" t="e">
        <f t="shared" si="24"/>
        <v>#VALUE!</v>
      </c>
      <c r="AB97" s="6"/>
      <c r="AC97" s="6"/>
      <c r="AD97" s="6"/>
      <c r="AE97" s="14"/>
    </row>
    <row r="98" spans="1:31" ht="11.25" customHeight="1" x14ac:dyDescent="0.25">
      <c r="A98" s="41"/>
      <c r="B98" s="41"/>
      <c r="C98" s="41"/>
      <c r="D98" s="43"/>
      <c r="E98" s="41"/>
      <c r="F98" s="41"/>
      <c r="G98" s="41"/>
      <c r="H98" s="41"/>
      <c r="I98" s="41"/>
      <c r="J98" s="44"/>
      <c r="K98" s="110"/>
      <c r="L98" s="41"/>
      <c r="M98" s="118">
        <v>90</v>
      </c>
      <c r="N98" s="119" t="e">
        <f t="shared" si="17"/>
        <v>#VALUE!</v>
      </c>
      <c r="O98" s="119" t="e">
        <f t="shared" si="25"/>
        <v>#VALUE!</v>
      </c>
      <c r="Q98" s="13">
        <f t="shared" si="19"/>
        <v>0</v>
      </c>
      <c r="R98" s="6">
        <f t="shared" si="18"/>
        <v>0</v>
      </c>
      <c r="S98" s="6">
        <f t="shared" si="20"/>
        <v>0</v>
      </c>
      <c r="T98" s="6"/>
      <c r="U98" s="14"/>
      <c r="V98" s="37" t="e">
        <f t="shared" si="26"/>
        <v>#VALUE!</v>
      </c>
      <c r="W98" s="6" t="e">
        <f t="shared" si="21"/>
        <v>#VALUE!</v>
      </c>
      <c r="X98" s="6"/>
      <c r="Y98" s="6">
        <f t="shared" si="22"/>
        <v>0</v>
      </c>
      <c r="Z98" s="14" t="e">
        <f t="shared" si="23"/>
        <v>#VALUE!</v>
      </c>
      <c r="AA98" s="13" t="e">
        <f t="shared" si="24"/>
        <v>#VALUE!</v>
      </c>
      <c r="AB98" s="6"/>
      <c r="AC98" s="6"/>
      <c r="AD98" s="6"/>
      <c r="AE98" s="14"/>
    </row>
    <row r="99" spans="1:31" ht="11.25" customHeight="1" x14ac:dyDescent="0.25">
      <c r="A99" s="41"/>
      <c r="B99" s="41"/>
      <c r="C99" s="41"/>
      <c r="D99" s="43"/>
      <c r="E99" s="41"/>
      <c r="F99" s="41"/>
      <c r="G99" s="41"/>
      <c r="H99" s="41"/>
      <c r="I99" s="41"/>
      <c r="J99" s="44"/>
      <c r="K99" s="110"/>
      <c r="L99" s="41"/>
      <c r="M99" s="118">
        <v>91</v>
      </c>
      <c r="N99" s="119" t="e">
        <f t="shared" si="17"/>
        <v>#VALUE!</v>
      </c>
      <c r="O99" s="119" t="e">
        <f t="shared" si="25"/>
        <v>#VALUE!</v>
      </c>
      <c r="Q99" s="13">
        <f t="shared" si="19"/>
        <v>0</v>
      </c>
      <c r="R99" s="6">
        <f t="shared" si="18"/>
        <v>0</v>
      </c>
      <c r="S99" s="6">
        <f t="shared" si="20"/>
        <v>0</v>
      </c>
      <c r="T99" s="6"/>
      <c r="U99" s="14"/>
      <c r="V99" s="37" t="e">
        <f t="shared" si="26"/>
        <v>#VALUE!</v>
      </c>
      <c r="W99" s="6" t="e">
        <f t="shared" si="21"/>
        <v>#VALUE!</v>
      </c>
      <c r="X99" s="6"/>
      <c r="Y99" s="6">
        <f t="shared" si="22"/>
        <v>0</v>
      </c>
      <c r="Z99" s="14" t="e">
        <f t="shared" si="23"/>
        <v>#VALUE!</v>
      </c>
      <c r="AA99" s="13" t="e">
        <f t="shared" si="24"/>
        <v>#VALUE!</v>
      </c>
      <c r="AB99" s="6"/>
      <c r="AC99" s="6"/>
      <c r="AD99" s="6"/>
      <c r="AE99" s="14"/>
    </row>
    <row r="100" spans="1:31" ht="11.25" customHeight="1" x14ac:dyDescent="0.25">
      <c r="A100" s="41"/>
      <c r="B100" s="41"/>
      <c r="C100" s="41"/>
      <c r="D100" s="43"/>
      <c r="E100" s="41"/>
      <c r="F100" s="41"/>
      <c r="G100" s="41"/>
      <c r="H100" s="41"/>
      <c r="I100" s="41"/>
      <c r="J100" s="44"/>
      <c r="K100" s="110"/>
      <c r="L100" s="41"/>
      <c r="M100" s="118">
        <v>92</v>
      </c>
      <c r="N100" s="119" t="e">
        <f t="shared" si="17"/>
        <v>#VALUE!</v>
      </c>
      <c r="O100" s="119" t="e">
        <f t="shared" si="25"/>
        <v>#VALUE!</v>
      </c>
      <c r="Q100" s="13">
        <f t="shared" si="19"/>
        <v>0</v>
      </c>
      <c r="R100" s="6">
        <f t="shared" si="18"/>
        <v>0</v>
      </c>
      <c r="S100" s="6">
        <f t="shared" si="20"/>
        <v>0</v>
      </c>
      <c r="T100" s="6"/>
      <c r="U100" s="14"/>
      <c r="V100" s="37" t="e">
        <f t="shared" si="26"/>
        <v>#VALUE!</v>
      </c>
      <c r="W100" s="6" t="e">
        <f t="shared" si="21"/>
        <v>#VALUE!</v>
      </c>
      <c r="X100" s="6"/>
      <c r="Y100" s="6">
        <f t="shared" si="22"/>
        <v>0</v>
      </c>
      <c r="Z100" s="14" t="e">
        <f t="shared" si="23"/>
        <v>#VALUE!</v>
      </c>
      <c r="AA100" s="13" t="e">
        <f t="shared" si="24"/>
        <v>#VALUE!</v>
      </c>
      <c r="AB100" s="6"/>
      <c r="AC100" s="6"/>
      <c r="AD100" s="6"/>
      <c r="AE100" s="14"/>
    </row>
    <row r="101" spans="1:31" ht="11.25" customHeight="1" x14ac:dyDescent="0.25">
      <c r="A101" s="41"/>
      <c r="B101" s="41"/>
      <c r="C101" s="41"/>
      <c r="D101" s="43"/>
      <c r="E101" s="41"/>
      <c r="F101" s="41"/>
      <c r="G101" s="41"/>
      <c r="H101" s="41"/>
      <c r="I101" s="41"/>
      <c r="J101" s="44"/>
      <c r="K101" s="110"/>
      <c r="L101" s="41"/>
      <c r="M101" s="118">
        <v>93</v>
      </c>
      <c r="N101" s="119" t="e">
        <f t="shared" si="17"/>
        <v>#VALUE!</v>
      </c>
      <c r="O101" s="119" t="e">
        <f t="shared" si="25"/>
        <v>#VALUE!</v>
      </c>
      <c r="Q101" s="13">
        <f t="shared" si="19"/>
        <v>0</v>
      </c>
      <c r="R101" s="6">
        <f t="shared" si="18"/>
        <v>0</v>
      </c>
      <c r="S101" s="6">
        <f t="shared" si="20"/>
        <v>0</v>
      </c>
      <c r="T101" s="6"/>
      <c r="U101" s="14"/>
      <c r="V101" s="37" t="e">
        <f t="shared" si="26"/>
        <v>#VALUE!</v>
      </c>
      <c r="W101" s="6" t="e">
        <f t="shared" si="21"/>
        <v>#VALUE!</v>
      </c>
      <c r="X101" s="6"/>
      <c r="Y101" s="6">
        <f t="shared" si="22"/>
        <v>0</v>
      </c>
      <c r="Z101" s="14" t="e">
        <f t="shared" si="23"/>
        <v>#VALUE!</v>
      </c>
      <c r="AA101" s="13" t="e">
        <f t="shared" si="24"/>
        <v>#VALUE!</v>
      </c>
      <c r="AB101" s="6"/>
      <c r="AC101" s="6"/>
      <c r="AD101" s="6"/>
      <c r="AE101" s="14"/>
    </row>
    <row r="102" spans="1:31" ht="11.25" customHeight="1" x14ac:dyDescent="0.25">
      <c r="A102" s="41"/>
      <c r="B102" s="41"/>
      <c r="C102" s="41"/>
      <c r="D102" s="43"/>
      <c r="E102" s="41"/>
      <c r="F102" s="41"/>
      <c r="G102" s="41"/>
      <c r="H102" s="41"/>
      <c r="I102" s="41"/>
      <c r="J102" s="44"/>
      <c r="K102" s="110"/>
      <c r="L102" s="41"/>
      <c r="M102" s="118">
        <v>94</v>
      </c>
      <c r="N102" s="119" t="e">
        <f t="shared" si="17"/>
        <v>#VALUE!</v>
      </c>
      <c r="O102" s="119" t="e">
        <f t="shared" si="25"/>
        <v>#VALUE!</v>
      </c>
      <c r="Q102" s="13">
        <f t="shared" si="19"/>
        <v>0</v>
      </c>
      <c r="R102" s="6">
        <f t="shared" si="18"/>
        <v>0</v>
      </c>
      <c r="S102" s="6">
        <f t="shared" si="20"/>
        <v>0</v>
      </c>
      <c r="T102" s="6"/>
      <c r="U102" s="14"/>
      <c r="V102" s="37" t="e">
        <f t="shared" si="26"/>
        <v>#VALUE!</v>
      </c>
      <c r="W102" s="6" t="e">
        <f t="shared" si="21"/>
        <v>#VALUE!</v>
      </c>
      <c r="X102" s="6"/>
      <c r="Y102" s="6">
        <f t="shared" si="22"/>
        <v>0</v>
      </c>
      <c r="Z102" s="14" t="e">
        <f t="shared" si="23"/>
        <v>#VALUE!</v>
      </c>
      <c r="AA102" s="13" t="e">
        <f t="shared" si="24"/>
        <v>#VALUE!</v>
      </c>
      <c r="AB102" s="6"/>
      <c r="AC102" s="6"/>
      <c r="AD102" s="6"/>
      <c r="AE102" s="14"/>
    </row>
    <row r="103" spans="1:31" ht="11.25" customHeight="1" x14ac:dyDescent="0.25">
      <c r="A103" s="41"/>
      <c r="B103" s="41"/>
      <c r="C103" s="41"/>
      <c r="D103" s="43"/>
      <c r="E103" s="41"/>
      <c r="F103" s="41"/>
      <c r="G103" s="41"/>
      <c r="H103" s="41"/>
      <c r="I103" s="41"/>
      <c r="J103" s="44"/>
      <c r="K103" s="110"/>
      <c r="L103" s="41"/>
      <c r="M103" s="118">
        <v>95</v>
      </c>
      <c r="N103" s="119" t="e">
        <f t="shared" si="17"/>
        <v>#VALUE!</v>
      </c>
      <c r="O103" s="119" t="e">
        <f t="shared" si="25"/>
        <v>#VALUE!</v>
      </c>
      <c r="Q103" s="13">
        <f t="shared" si="19"/>
        <v>0</v>
      </c>
      <c r="R103" s="6">
        <f t="shared" si="18"/>
        <v>0</v>
      </c>
      <c r="S103" s="6">
        <f t="shared" si="20"/>
        <v>0</v>
      </c>
      <c r="T103" s="6"/>
      <c r="U103" s="14"/>
      <c r="V103" s="37" t="e">
        <f t="shared" si="26"/>
        <v>#VALUE!</v>
      </c>
      <c r="W103" s="6" t="e">
        <f t="shared" si="21"/>
        <v>#VALUE!</v>
      </c>
      <c r="X103" s="6"/>
      <c r="Y103" s="6">
        <f t="shared" si="22"/>
        <v>0</v>
      </c>
      <c r="Z103" s="14" t="e">
        <f t="shared" si="23"/>
        <v>#VALUE!</v>
      </c>
      <c r="AA103" s="13" t="e">
        <f t="shared" si="24"/>
        <v>#VALUE!</v>
      </c>
      <c r="AB103" s="6"/>
      <c r="AC103" s="6"/>
      <c r="AD103" s="6"/>
      <c r="AE103" s="14"/>
    </row>
    <row r="104" spans="1:31" ht="11.25" customHeight="1" x14ac:dyDescent="0.25">
      <c r="A104" s="41"/>
      <c r="B104" s="41"/>
      <c r="C104" s="41"/>
      <c r="D104" s="43"/>
      <c r="E104" s="41"/>
      <c r="F104" s="41"/>
      <c r="G104" s="41"/>
      <c r="H104" s="41"/>
      <c r="I104" s="41"/>
      <c r="J104" s="44"/>
      <c r="K104" s="110"/>
      <c r="L104" s="41"/>
      <c r="M104" s="118">
        <v>96</v>
      </c>
      <c r="N104" s="119" t="e">
        <f t="shared" si="17"/>
        <v>#VALUE!</v>
      </c>
      <c r="O104" s="119" t="e">
        <f t="shared" si="25"/>
        <v>#VALUE!</v>
      </c>
      <c r="Q104" s="13">
        <f t="shared" si="19"/>
        <v>0</v>
      </c>
      <c r="R104" s="6">
        <f t="shared" si="18"/>
        <v>0</v>
      </c>
      <c r="S104" s="6">
        <f t="shared" si="20"/>
        <v>0</v>
      </c>
      <c r="T104" s="6"/>
      <c r="U104" s="14"/>
      <c r="V104" s="37" t="e">
        <f t="shared" si="26"/>
        <v>#VALUE!</v>
      </c>
      <c r="W104" s="6" t="e">
        <f t="shared" si="21"/>
        <v>#VALUE!</v>
      </c>
      <c r="X104" s="6"/>
      <c r="Y104" s="6">
        <f t="shared" si="22"/>
        <v>0</v>
      </c>
      <c r="Z104" s="14" t="e">
        <f t="shared" si="23"/>
        <v>#VALUE!</v>
      </c>
      <c r="AA104" s="13" t="e">
        <f t="shared" si="24"/>
        <v>#VALUE!</v>
      </c>
      <c r="AB104" s="6"/>
      <c r="AC104" s="6"/>
      <c r="AD104" s="6"/>
      <c r="AE104" s="14"/>
    </row>
    <row r="105" spans="1:31" ht="11.25" customHeight="1" x14ac:dyDescent="0.25">
      <c r="A105" s="41"/>
      <c r="B105" s="41"/>
      <c r="C105" s="41"/>
      <c r="D105" s="43"/>
      <c r="E105" s="41"/>
      <c r="F105" s="41"/>
      <c r="G105" s="41"/>
      <c r="H105" s="41"/>
      <c r="I105" s="41"/>
      <c r="J105" s="44"/>
      <c r="K105" s="110"/>
      <c r="L105" s="41"/>
      <c r="M105" s="118">
        <v>97</v>
      </c>
      <c r="N105" s="119" t="e">
        <f t="shared" si="17"/>
        <v>#VALUE!</v>
      </c>
      <c r="O105" s="119" t="e">
        <f t="shared" si="25"/>
        <v>#VALUE!</v>
      </c>
      <c r="Q105" s="13">
        <f t="shared" si="19"/>
        <v>0</v>
      </c>
      <c r="R105" s="6">
        <f t="shared" si="18"/>
        <v>0</v>
      </c>
      <c r="S105" s="6">
        <f t="shared" si="20"/>
        <v>0</v>
      </c>
      <c r="T105" s="6"/>
      <c r="U105" s="14"/>
      <c r="V105" s="37" t="e">
        <f t="shared" si="26"/>
        <v>#VALUE!</v>
      </c>
      <c r="W105" s="6" t="e">
        <f t="shared" si="21"/>
        <v>#VALUE!</v>
      </c>
      <c r="X105" s="6"/>
      <c r="Y105" s="6">
        <f t="shared" si="22"/>
        <v>0</v>
      </c>
      <c r="Z105" s="14" t="e">
        <f t="shared" si="23"/>
        <v>#VALUE!</v>
      </c>
      <c r="AA105" s="13" t="e">
        <f t="shared" si="24"/>
        <v>#VALUE!</v>
      </c>
      <c r="AB105" s="6"/>
      <c r="AC105" s="6"/>
      <c r="AD105" s="6"/>
      <c r="AE105" s="14"/>
    </row>
    <row r="106" spans="1:31" ht="11.25" customHeight="1" x14ac:dyDescent="0.25">
      <c r="A106" s="41"/>
      <c r="B106" s="41"/>
      <c r="C106" s="41"/>
      <c r="D106" s="43"/>
      <c r="E106" s="41"/>
      <c r="F106" s="41"/>
      <c r="G106" s="41"/>
      <c r="H106" s="41"/>
      <c r="I106" s="41"/>
      <c r="J106" s="44"/>
      <c r="K106" s="110"/>
      <c r="L106" s="41"/>
      <c r="M106" s="118">
        <v>98</v>
      </c>
      <c r="N106" s="119" t="e">
        <f t="shared" si="17"/>
        <v>#VALUE!</v>
      </c>
      <c r="O106" s="119" t="e">
        <f t="shared" si="25"/>
        <v>#VALUE!</v>
      </c>
      <c r="Q106" s="13">
        <f t="shared" si="19"/>
        <v>0</v>
      </c>
      <c r="R106" s="6">
        <f t="shared" si="18"/>
        <v>0</v>
      </c>
      <c r="S106" s="6">
        <f t="shared" si="20"/>
        <v>0</v>
      </c>
      <c r="T106" s="6"/>
      <c r="U106" s="14"/>
      <c r="V106" s="37" t="e">
        <f t="shared" si="26"/>
        <v>#VALUE!</v>
      </c>
      <c r="W106" s="6" t="e">
        <f t="shared" si="21"/>
        <v>#VALUE!</v>
      </c>
      <c r="X106" s="6"/>
      <c r="Y106" s="6">
        <f t="shared" si="22"/>
        <v>0</v>
      </c>
      <c r="Z106" s="14" t="e">
        <f t="shared" si="23"/>
        <v>#VALUE!</v>
      </c>
      <c r="AA106" s="13" t="e">
        <f t="shared" si="24"/>
        <v>#VALUE!</v>
      </c>
      <c r="AB106" s="6"/>
      <c r="AC106" s="6"/>
      <c r="AD106" s="6"/>
      <c r="AE106" s="14"/>
    </row>
    <row r="107" spans="1:31" ht="11.25" customHeight="1" x14ac:dyDescent="0.25">
      <c r="A107" s="41"/>
      <c r="B107" s="41"/>
      <c r="C107" s="41"/>
      <c r="D107" s="43"/>
      <c r="E107" s="41"/>
      <c r="F107" s="41"/>
      <c r="G107" s="41"/>
      <c r="H107" s="41"/>
      <c r="I107" s="41"/>
      <c r="J107" s="44"/>
      <c r="K107" s="110"/>
      <c r="L107" s="41"/>
      <c r="M107" s="118">
        <v>99</v>
      </c>
      <c r="N107" s="119" t="e">
        <f t="shared" si="17"/>
        <v>#VALUE!</v>
      </c>
      <c r="O107" s="119" t="e">
        <f t="shared" si="25"/>
        <v>#VALUE!</v>
      </c>
      <c r="Q107" s="13">
        <f t="shared" si="19"/>
        <v>0</v>
      </c>
      <c r="R107" s="6">
        <f t="shared" si="18"/>
        <v>0</v>
      </c>
      <c r="S107" s="6">
        <f t="shared" si="20"/>
        <v>0</v>
      </c>
      <c r="T107" s="6"/>
      <c r="U107" s="14"/>
      <c r="V107" s="37" t="e">
        <f t="shared" si="26"/>
        <v>#VALUE!</v>
      </c>
      <c r="W107" s="6" t="e">
        <f t="shared" si="21"/>
        <v>#VALUE!</v>
      </c>
      <c r="X107" s="6"/>
      <c r="Y107" s="6">
        <f t="shared" si="22"/>
        <v>0</v>
      </c>
      <c r="Z107" s="14" t="e">
        <f t="shared" si="23"/>
        <v>#VALUE!</v>
      </c>
      <c r="AA107" s="13" t="e">
        <f t="shared" si="24"/>
        <v>#VALUE!</v>
      </c>
      <c r="AB107" s="6"/>
      <c r="AC107" s="6"/>
      <c r="AD107" s="6"/>
      <c r="AE107" s="14"/>
    </row>
    <row r="108" spans="1:31" ht="11.25" customHeight="1" thickBot="1" x14ac:dyDescent="0.3">
      <c r="A108" s="41"/>
      <c r="B108" s="41"/>
      <c r="C108" s="41"/>
      <c r="D108" s="43"/>
      <c r="E108" s="41"/>
      <c r="F108" s="41"/>
      <c r="G108" s="41"/>
      <c r="H108" s="41"/>
      <c r="I108" s="41"/>
      <c r="J108" s="44"/>
      <c r="K108" s="110"/>
      <c r="L108" s="41"/>
      <c r="M108" s="118">
        <v>100</v>
      </c>
      <c r="N108" s="119" t="e">
        <f t="shared" si="17"/>
        <v>#VALUE!</v>
      </c>
      <c r="O108" s="119" t="e">
        <f t="shared" si="25"/>
        <v>#VALUE!</v>
      </c>
      <c r="Q108" s="13">
        <f t="shared" si="19"/>
        <v>0</v>
      </c>
      <c r="R108" s="6">
        <f t="shared" si="18"/>
        <v>0</v>
      </c>
      <c r="S108" s="6">
        <f t="shared" si="20"/>
        <v>0</v>
      </c>
      <c r="T108" s="6"/>
      <c r="U108" s="14"/>
      <c r="V108" s="37" t="e">
        <f t="shared" si="26"/>
        <v>#VALUE!</v>
      </c>
      <c r="W108" s="6" t="e">
        <f t="shared" si="21"/>
        <v>#VALUE!</v>
      </c>
      <c r="X108" s="6"/>
      <c r="Y108" s="6">
        <f t="shared" si="22"/>
        <v>0</v>
      </c>
      <c r="Z108" s="14" t="e">
        <f t="shared" si="23"/>
        <v>#VALUE!</v>
      </c>
      <c r="AA108" s="13" t="e">
        <f t="shared" si="24"/>
        <v>#VALUE!</v>
      </c>
      <c r="AB108" s="15"/>
      <c r="AC108" s="15"/>
      <c r="AD108" s="15"/>
      <c r="AE108" s="16"/>
    </row>
  </sheetData>
  <mergeCells count="18">
    <mergeCell ref="A1:O2"/>
    <mergeCell ref="J6:K6"/>
    <mergeCell ref="G8:I8"/>
    <mergeCell ref="G9:I9"/>
    <mergeCell ref="J5:K5"/>
    <mergeCell ref="M6:O6"/>
    <mergeCell ref="A5:E6"/>
    <mergeCell ref="AA3:AE3"/>
    <mergeCell ref="V3:Z3"/>
    <mergeCell ref="G29:I29"/>
    <mergeCell ref="A33:K33"/>
    <mergeCell ref="G13:I13"/>
    <mergeCell ref="G15:I15"/>
    <mergeCell ref="G17:I17"/>
    <mergeCell ref="G18:I18"/>
    <mergeCell ref="G19:I19"/>
    <mergeCell ref="H20:J20"/>
    <mergeCell ref="G11:I11"/>
  </mergeCells>
  <conditionalFormatting sqref="A1:O2">
    <cfRule type="containsText" dxfId="4" priority="1" operator="containsText" text="Esta Hoja">
      <formula>NOT(ISERROR(SEARCH("Esta Hoja",A1)))</formula>
    </cfRule>
  </conditionalFormatting>
  <conditionalFormatting sqref="C35:C41">
    <cfRule type="top10" dxfId="3" priority="3" percent="1" bottom="1" rank="1"/>
  </conditionalFormatting>
  <conditionalFormatting sqref="L6">
    <cfRule type="cellIs" dxfId="2" priority="2" operator="equal">
      <formula>"no corresponde!"</formula>
    </cfRule>
  </conditionalFormatting>
  <hyperlinks>
    <hyperlink ref="A3" location="DATOS!A1" display="Hoja de DATOS" xr:uid="{95FA5786-9289-4A3D-912D-2CCF2BC65CB2}"/>
    <hyperlink ref="B3" location="MMc!A1" display="ir a M/M/c" xr:uid="{B5E143F8-4847-4954-8DCD-86C67A249830}"/>
    <hyperlink ref="C3" location="MMcK!A1" display="ir a M/M/c//K" xr:uid="{53855205-7269-4318-8B96-004EECD8B379}"/>
    <hyperlink ref="E3" location="'MG1'!A1" display="Ir a M/G/1" xr:uid="{420046BC-8921-411E-A173-EEA7A7B44EFE}"/>
    <hyperlink ref="L3" location="Ayuda!A1" display="ayuda" xr:uid="{12B39125-E996-41B3-809A-538FADF6A12F}"/>
    <hyperlink ref="N3" location="Ayuda!AT1" display="documentación" xr:uid="{E145A658-D9EE-4D4A-8F37-DA4309E0063A}"/>
  </hyperlinks>
  <pageMargins left="0.7" right="0.7" top="0.75" bottom="0.75" header="0.3" footer="0.3"/>
  <pageSetup orientation="portrait" horizontalDpi="0" verticalDpi="0" r:id="rId1"/>
  <ignoredErrors>
    <ignoredError sqref="C21 B22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35C51-B727-4C34-B876-1F724F41EAE8}">
  <sheetPr codeName="Hoja4">
    <tabColor theme="3" tint="0.39997558519241921"/>
  </sheetPr>
  <dimension ref="A1:U22"/>
  <sheetViews>
    <sheetView showGridLines="0" workbookViewId="0">
      <selection activeCell="A3" sqref="A3"/>
    </sheetView>
  </sheetViews>
  <sheetFormatPr baseColWidth="10" defaultRowHeight="15" x14ac:dyDescent="0.25"/>
  <cols>
    <col min="6" max="6" width="14.28515625" customWidth="1"/>
    <col min="8" max="8" width="12.28515625" bestFit="1" customWidth="1"/>
    <col min="13" max="13" width="6.42578125" customWidth="1"/>
    <col min="14" max="14" width="11.42578125" style="6"/>
  </cols>
  <sheetData>
    <row r="1" spans="1:21" ht="15" customHeight="1" x14ac:dyDescent="0.25">
      <c r="A1" s="444" t="str">
        <f>IF(L5="no corresponde!","Esta Hoja no corresponde al modelo ingresado","Hoja "&amp;L5&amp;" — ANALISIS DE COLAS - OPTIMIZA - VER. 20.1.1")</f>
        <v>Esta Hoja no corresponde al modelo ingresado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6"/>
      <c r="P1" s="234"/>
      <c r="Q1" s="234"/>
      <c r="R1" s="234"/>
      <c r="S1" s="234"/>
      <c r="T1" s="234"/>
      <c r="U1" s="236"/>
    </row>
    <row r="2" spans="1:21" ht="15.75" thickBot="1" x14ac:dyDescent="0.3">
      <c r="A2" s="447"/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9"/>
      <c r="P2" s="236"/>
      <c r="Q2" s="236"/>
      <c r="R2" s="236"/>
      <c r="S2" s="236"/>
      <c r="T2" s="236"/>
      <c r="U2" s="236"/>
    </row>
    <row r="3" spans="1:21" ht="12.75" customHeight="1" x14ac:dyDescent="0.4">
      <c r="A3" s="251" t="s">
        <v>124</v>
      </c>
      <c r="B3" s="235"/>
      <c r="C3" s="251" t="s">
        <v>66</v>
      </c>
      <c r="D3" s="235"/>
      <c r="E3" s="251" t="s">
        <v>64</v>
      </c>
      <c r="F3" s="235"/>
      <c r="G3" s="252" t="s">
        <v>65</v>
      </c>
      <c r="H3" s="235"/>
      <c r="I3" s="253"/>
      <c r="J3" s="253"/>
      <c r="K3" s="253" t="s">
        <v>62</v>
      </c>
      <c r="L3" s="253"/>
      <c r="M3" s="253"/>
      <c r="N3" s="318" t="s">
        <v>63</v>
      </c>
      <c r="O3" s="235"/>
      <c r="Q3" s="238"/>
      <c r="R3" s="237"/>
      <c r="S3" s="237"/>
      <c r="T3" s="237"/>
    </row>
    <row r="4" spans="1:21" s="49" customFormat="1" ht="13.5" thickBot="1" x14ac:dyDescent="0.25">
      <c r="D4" s="55" t="s">
        <v>8</v>
      </c>
      <c r="E4" s="55"/>
      <c r="F4" s="86"/>
      <c r="G4" s="86"/>
      <c r="H4" s="295" t="str">
        <f>DATOS!E5</f>
        <v>hora</v>
      </c>
      <c r="N4" s="79"/>
      <c r="P4" s="50"/>
      <c r="Q4" s="51"/>
    </row>
    <row r="5" spans="1:21" s="49" customFormat="1" ht="13.5" thickBot="1" x14ac:dyDescent="0.25">
      <c r="D5" s="436" t="s">
        <v>127</v>
      </c>
      <c r="E5" s="437"/>
      <c r="F5" s="437"/>
      <c r="G5" s="437"/>
      <c r="H5" s="438"/>
      <c r="J5" s="387" t="s">
        <v>77</v>
      </c>
      <c r="K5" s="388"/>
      <c r="L5" s="442" t="str">
        <f>IF(DATOS!K6="MG1",DATOS!K6,"no corresponde!")</f>
        <v>no corresponde!</v>
      </c>
      <c r="M5" s="443"/>
      <c r="N5" s="79"/>
      <c r="P5" s="50"/>
      <c r="Q5" s="51"/>
      <c r="T5" s="51"/>
    </row>
    <row r="6" spans="1:21" s="49" customFormat="1" ht="13.5" thickBot="1" x14ac:dyDescent="0.25">
      <c r="D6" s="439"/>
      <c r="E6" s="440"/>
      <c r="F6" s="440"/>
      <c r="G6" s="440"/>
      <c r="H6" s="441"/>
      <c r="N6" s="79"/>
    </row>
    <row r="7" spans="1:21" s="49" customFormat="1" ht="12.75" x14ac:dyDescent="0.2">
      <c r="D7" s="90" t="s">
        <v>59</v>
      </c>
      <c r="E7" s="90"/>
      <c r="F7" s="90"/>
      <c r="G7" s="91"/>
      <c r="H7" s="50" t="s">
        <v>3</v>
      </c>
      <c r="J7" s="50" t="s">
        <v>49</v>
      </c>
      <c r="K7" s="50"/>
      <c r="L7" s="50"/>
      <c r="M7" s="50"/>
      <c r="N7" s="79"/>
      <c r="P7" s="50"/>
      <c r="Q7" s="51"/>
      <c r="S7" s="150"/>
      <c r="T7" s="150"/>
      <c r="U7" s="150"/>
    </row>
    <row r="8" spans="1:21" s="49" customFormat="1" ht="12.75" x14ac:dyDescent="0.2">
      <c r="D8" s="55" t="s">
        <v>69</v>
      </c>
      <c r="E8" s="55"/>
      <c r="F8" s="55"/>
      <c r="G8" s="283" t="s">
        <v>2</v>
      </c>
      <c r="H8" s="30">
        <v>1</v>
      </c>
      <c r="J8" s="60" t="s">
        <v>72</v>
      </c>
      <c r="K8" s="60"/>
      <c r="L8" s="60"/>
      <c r="M8" s="284" t="s">
        <v>29</v>
      </c>
      <c r="N8" s="285">
        <f>1-N13</f>
        <v>9.0909090909090828E-2</v>
      </c>
      <c r="O8" s="286">
        <f>N8</f>
        <v>9.0909090909090828E-2</v>
      </c>
    </row>
    <row r="9" spans="1:21" s="49" customFormat="1" ht="12.75" x14ac:dyDescent="0.2">
      <c r="D9" s="76" t="str">
        <f>"Tasa de arribos (por "&amp;H4&amp;")"</f>
        <v>Tasa de arribos (por hora)</v>
      </c>
      <c r="E9" s="76"/>
      <c r="F9" s="76"/>
      <c r="G9" s="80" t="s">
        <v>17</v>
      </c>
      <c r="H9" s="30">
        <f>DATOS!E9</f>
        <v>60</v>
      </c>
      <c r="J9" s="55" t="s">
        <v>73</v>
      </c>
      <c r="K9" s="55"/>
      <c r="L9" s="55"/>
      <c r="M9" s="86" t="s">
        <v>21</v>
      </c>
      <c r="N9" s="287">
        <f>N10+N13</f>
        <v>5.4545454545454595</v>
      </c>
      <c r="O9" s="55"/>
    </row>
    <row r="10" spans="1:21" s="49" customFormat="1" ht="12.75" x14ac:dyDescent="0.2">
      <c r="D10" s="76" t="str">
        <f>"Tasa de servicio (por servidor por "&amp;H4&amp;") "</f>
        <v xml:space="preserve">Tasa de servicio (por servidor por hora) </v>
      </c>
      <c r="E10" s="76"/>
      <c r="F10" s="76"/>
      <c r="G10" s="80" t="s">
        <v>16</v>
      </c>
      <c r="H10" s="30">
        <f>DATOS!E10</f>
        <v>66</v>
      </c>
      <c r="I10" s="19"/>
      <c r="J10" s="60" t="s">
        <v>74</v>
      </c>
      <c r="K10" s="34"/>
      <c r="L10" s="34"/>
      <c r="M10" s="34" t="s">
        <v>23</v>
      </c>
      <c r="N10" s="35">
        <f>((H9^2)*(H12^2)+(N13^2))/(2*(1-N13))</f>
        <v>4.5454545454545503</v>
      </c>
      <c r="O10" s="31"/>
      <c r="P10" s="258">
        <f>DATOS!K12*(('MG1'!H9)^2)/2</f>
        <v>426.13636363636357</v>
      </c>
      <c r="Q10" s="25"/>
      <c r="R10" s="18"/>
      <c r="S10" s="26"/>
      <c r="T10" s="26"/>
      <c r="U10" s="18"/>
    </row>
    <row r="11" spans="1:21" s="49" customFormat="1" ht="12.75" x14ac:dyDescent="0.2">
      <c r="D11" s="76" t="str">
        <f>"Tiempo de servicio (1/"&amp;F4&amp;")"</f>
        <v>Tiempo de servicio (1/)</v>
      </c>
      <c r="E11" s="76"/>
      <c r="F11" s="76"/>
      <c r="G11" s="80" t="s">
        <v>71</v>
      </c>
      <c r="H11" s="31">
        <f>1/H10</f>
        <v>1.5151515151515152E-2</v>
      </c>
      <c r="I11" s="19"/>
      <c r="J11" s="55" t="s">
        <v>75</v>
      </c>
      <c r="K11" s="32"/>
      <c r="L11" s="32"/>
      <c r="M11" s="32" t="s">
        <v>25</v>
      </c>
      <c r="N11" s="36">
        <f>N12+H11</f>
        <v>9.0909090909090995E-2</v>
      </c>
      <c r="O11" s="31" t="str">
        <f>H4</f>
        <v>hora</v>
      </c>
      <c r="P11" s="19"/>
      <c r="Q11" s="25"/>
      <c r="R11" s="18"/>
      <c r="S11" s="26"/>
      <c r="T11" s="26"/>
      <c r="U11" s="18"/>
    </row>
    <row r="12" spans="1:21" s="49" customFormat="1" ht="12.75" x14ac:dyDescent="0.2">
      <c r="D12" s="76" t="s">
        <v>70</v>
      </c>
      <c r="E12" s="76"/>
      <c r="F12" s="76"/>
      <c r="G12" s="288" t="s">
        <v>68</v>
      </c>
      <c r="H12" s="30">
        <f>DATOS!E20</f>
        <v>0</v>
      </c>
      <c r="I12" s="20"/>
      <c r="J12" s="60" t="s">
        <v>76</v>
      </c>
      <c r="K12" s="60"/>
      <c r="L12" s="60"/>
      <c r="M12" s="284" t="s">
        <v>27</v>
      </c>
      <c r="N12" s="35">
        <f>N10/H9</f>
        <v>7.5757575757575843E-2</v>
      </c>
      <c r="O12" s="31" t="str">
        <f>H4</f>
        <v>hora</v>
      </c>
      <c r="P12" s="21"/>
      <c r="Q12" s="27"/>
      <c r="R12" s="18"/>
      <c r="S12" s="18"/>
      <c r="T12" s="18"/>
      <c r="U12" s="18"/>
    </row>
    <row r="13" spans="1:21" s="49" customFormat="1" ht="13.5" thickBot="1" x14ac:dyDescent="0.25">
      <c r="H13" s="18"/>
      <c r="I13" s="20"/>
      <c r="J13" s="55" t="s">
        <v>38</v>
      </c>
      <c r="K13" s="33"/>
      <c r="L13" s="33"/>
      <c r="M13" s="230" t="s">
        <v>41</v>
      </c>
      <c r="N13" s="36">
        <f>H9*H11</f>
        <v>0.90909090909090917</v>
      </c>
      <c r="O13" s="31"/>
      <c r="P13" s="21"/>
      <c r="Q13" s="27"/>
      <c r="R13" s="18"/>
      <c r="S13" s="18"/>
      <c r="T13" s="18"/>
      <c r="U13" s="18"/>
    </row>
    <row r="14" spans="1:21" s="49" customFormat="1" ht="12.75" x14ac:dyDescent="0.2">
      <c r="F14" s="289" t="str">
        <f>IF(OR(1/H10&gt;=1,DATOS!E8&gt;1),"Modelo no valido porque:","")</f>
        <v>Modelo no valido porque:</v>
      </c>
      <c r="G14" s="290"/>
      <c r="H14" s="18"/>
      <c r="I14" s="20"/>
      <c r="J14" s="22"/>
      <c r="K14" s="22"/>
      <c r="L14" s="22"/>
      <c r="M14" s="22"/>
      <c r="N14" s="29"/>
      <c r="O14" s="18"/>
      <c r="P14" s="21"/>
      <c r="Q14" s="27"/>
      <c r="R14" s="18"/>
      <c r="S14" s="18"/>
      <c r="T14" s="18"/>
      <c r="U14" s="18"/>
    </row>
    <row r="15" spans="1:21" s="49" customFormat="1" ht="13.5" thickBot="1" x14ac:dyDescent="0.25">
      <c r="F15" s="291" t="str">
        <f>IF(1/H10&gt;=1,"   r   &gt;=   1","")</f>
        <v/>
      </c>
      <c r="G15" s="292" t="str">
        <f>IF(DATOS!E8&gt;1,"c&gt;1 ("&amp;DATOS!E8&amp;")","")</f>
        <v>c&gt;1 (2)</v>
      </c>
      <c r="H15" s="18"/>
      <c r="I15" s="19"/>
      <c r="J15" s="22"/>
      <c r="K15" s="22"/>
      <c r="L15" s="22"/>
      <c r="M15" s="22"/>
      <c r="N15" s="29"/>
      <c r="O15" s="18"/>
      <c r="P15" s="21"/>
      <c r="Q15" s="27"/>
      <c r="R15" s="18"/>
      <c r="S15" s="18"/>
      <c r="T15" s="18"/>
      <c r="U15" s="18"/>
    </row>
    <row r="16" spans="1:21" s="49" customFormat="1" ht="13.5" thickBot="1" x14ac:dyDescent="0.25">
      <c r="F16" s="293" t="str">
        <f>IF(AND(F14="",L5&lt;&gt;"no corresponde!"),"Mas detalles en la Hoja MMc","")</f>
        <v/>
      </c>
      <c r="G16" s="294"/>
      <c r="H16" s="18"/>
      <c r="I16" s="19"/>
      <c r="J16" s="22"/>
      <c r="K16" s="22"/>
      <c r="L16" s="22"/>
      <c r="M16" s="22"/>
      <c r="N16" s="29"/>
      <c r="O16" s="18"/>
      <c r="P16" s="21"/>
      <c r="Q16" s="27"/>
      <c r="R16" s="18"/>
      <c r="S16" s="18"/>
      <c r="T16" s="18"/>
      <c r="U16" s="18"/>
    </row>
    <row r="17" spans="8:21" x14ac:dyDescent="0.25">
      <c r="H17" s="18"/>
      <c r="I17" s="21"/>
      <c r="J17" s="23"/>
      <c r="K17" s="23"/>
      <c r="L17" s="23"/>
      <c r="M17" s="23"/>
      <c r="N17" s="29"/>
      <c r="O17" s="18"/>
      <c r="P17" s="21"/>
      <c r="Q17" s="23"/>
      <c r="R17" s="18"/>
      <c r="S17" s="18"/>
      <c r="T17" s="18"/>
      <c r="U17" s="18"/>
    </row>
    <row r="18" spans="8:21" x14ac:dyDescent="0.25">
      <c r="H18" s="18"/>
      <c r="I18" s="18"/>
      <c r="J18" s="22"/>
      <c r="K18" s="22"/>
      <c r="L18" s="22"/>
      <c r="M18" s="22"/>
      <c r="N18" s="29"/>
      <c r="O18" s="18"/>
      <c r="P18" s="28"/>
      <c r="Q18" s="23"/>
      <c r="R18" s="18"/>
      <c r="S18" s="18"/>
      <c r="T18" s="18"/>
      <c r="U18" s="18"/>
    </row>
    <row r="19" spans="8:21" ht="15.75" x14ac:dyDescent="0.25">
      <c r="I19" s="18"/>
      <c r="J19" s="24"/>
      <c r="K19" s="24"/>
      <c r="L19" s="24"/>
      <c r="M19" s="24"/>
      <c r="N19" s="29"/>
      <c r="O19" s="18"/>
      <c r="P19" s="18"/>
      <c r="Q19" s="22"/>
      <c r="R19" s="18"/>
      <c r="S19" s="18"/>
      <c r="T19" s="18"/>
      <c r="U19" s="18"/>
    </row>
    <row r="20" spans="8:21" x14ac:dyDescent="0.25">
      <c r="I20" s="21"/>
      <c r="J20" s="23"/>
      <c r="K20" s="23"/>
      <c r="L20" s="23"/>
      <c r="M20" s="23"/>
      <c r="N20" s="29"/>
      <c r="O20" s="18"/>
      <c r="P20" s="19"/>
      <c r="Q20" s="22"/>
      <c r="R20" s="18"/>
      <c r="S20" s="18"/>
      <c r="T20" s="18"/>
      <c r="U20" s="18"/>
    </row>
    <row r="21" spans="8:21" x14ac:dyDescent="0.25">
      <c r="I21" s="19"/>
      <c r="J21" s="22"/>
      <c r="K21" s="22"/>
      <c r="L21" s="22"/>
      <c r="M21" s="22"/>
      <c r="N21" s="29"/>
      <c r="O21" s="18"/>
      <c r="P21" s="21"/>
      <c r="Q21" s="23"/>
      <c r="R21" s="18"/>
      <c r="S21" s="18"/>
      <c r="T21" s="18"/>
      <c r="U21" s="18"/>
    </row>
    <row r="22" spans="8:21" x14ac:dyDescent="0.25">
      <c r="I22" s="19"/>
      <c r="J22" s="22"/>
      <c r="K22" s="22"/>
      <c r="L22" s="22"/>
      <c r="M22" s="22"/>
      <c r="N22" s="29"/>
      <c r="O22" s="18"/>
      <c r="P22" s="19"/>
      <c r="Q22" s="18"/>
      <c r="R22" s="18"/>
      <c r="S22" s="18"/>
      <c r="T22" s="18"/>
      <c r="U22" s="18"/>
    </row>
  </sheetData>
  <mergeCells count="4">
    <mergeCell ref="J5:K5"/>
    <mergeCell ref="D5:H6"/>
    <mergeCell ref="L5:M5"/>
    <mergeCell ref="A1:O2"/>
  </mergeCells>
  <conditionalFormatting sqref="A1:O2">
    <cfRule type="containsText" dxfId="1" priority="1" operator="containsText" text="Esta Hoja">
      <formula>NOT(ISERROR(SEARCH("Esta Hoja",A1)))</formula>
    </cfRule>
  </conditionalFormatting>
  <conditionalFormatting sqref="L5">
    <cfRule type="cellIs" dxfId="0" priority="2" operator="equal">
      <formula>"no corresponde!"</formula>
    </cfRule>
  </conditionalFormatting>
  <dataValidations count="4">
    <dataValidation type="decimal" operator="greaterThanOrEqual" allowBlank="1" showInputMessage="1" showErrorMessage="1" error="The standard deviation of the service rate must be greater-than-or-equal-to zero." sqref="J14:M14" xr:uid="{1147AADC-526F-4D7A-A07C-105669DCF80E}">
      <formula1>0</formula1>
    </dataValidation>
    <dataValidation type="decimal" operator="greaterThan" allowBlank="1" showInputMessage="1" showErrorMessage="1" error="The mean arrival rate must be greater than zero." sqref="J18:M18" xr:uid="{5EE78477-CD29-4786-8DAE-B3E03EAAB47C}">
      <formula1>0</formula1>
    </dataValidation>
    <dataValidation type="whole" allowBlank="1" showInputMessage="1" showErrorMessage="1" error="The number of servers must be an integer between 1 and 25 (inclusive)." sqref="J15:M15" xr:uid="{EF77A44A-EA5F-441C-88D0-26D24ED684A1}">
      <formula1>1</formula1>
      <formula2>25</formula2>
    </dataValidation>
    <dataValidation type="decimal" operator="greaterThanOrEqual" allowBlank="1" showInputMessage="1" showErrorMessage="1" error="t must be greater than or equal to 0." sqref="J21:M21" xr:uid="{4EB0C808-49D4-488D-86E6-129C4AF71118}">
      <formula1>0</formula1>
    </dataValidation>
  </dataValidations>
  <hyperlinks>
    <hyperlink ref="C3" location="MMc!A1" display="Ir a M/M/c" xr:uid="{D21DDF10-3020-41E5-86F9-FD20776B7671}"/>
    <hyperlink ref="A3" location="DATOS!A1" display="Hoja de DATOS" xr:uid="{A4F3EA10-3053-4E77-A543-13C118C2E325}"/>
    <hyperlink ref="E3" location="MMcK!A1" display="Ir a M/M/c//K" xr:uid="{F79B9AE9-0236-444E-A1B7-402EC9C1F36C}"/>
    <hyperlink ref="G3" location="MMcL!A1" display="ir a M/M/c/L" xr:uid="{C9706164-9BA8-4D43-9A0E-6E7752D35201}"/>
    <hyperlink ref="K3" location="Ayuda!A1" display="ayuda" xr:uid="{7B39FBC3-70EF-4D9E-B1E1-D7A45BAEF657}"/>
    <hyperlink ref="N3" location="Ayuda!AT1" display="documentación" xr:uid="{E0EB003E-E8A4-4A7E-B18C-90E5D3FCD998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F1B43-34B8-4C39-9E62-4A39E450E6E3}">
  <sheetPr codeName="Hoja5">
    <tabColor rgb="FFFF0000"/>
  </sheetPr>
  <dimension ref="A1:AT175"/>
  <sheetViews>
    <sheetView showGridLines="0" topLeftCell="A3" workbookViewId="0">
      <selection activeCell="A3" sqref="A3"/>
    </sheetView>
  </sheetViews>
  <sheetFormatPr baseColWidth="10" defaultRowHeight="15" x14ac:dyDescent="0.25"/>
  <sheetData>
    <row r="1" spans="1:46" x14ac:dyDescent="0.25">
      <c r="A1" s="450" t="s">
        <v>135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2"/>
      <c r="AF1" s="450" t="s">
        <v>136</v>
      </c>
      <c r="AG1" s="451"/>
      <c r="AH1" s="451"/>
      <c r="AI1" s="451"/>
      <c r="AJ1" s="451"/>
      <c r="AK1" s="451"/>
      <c r="AL1" s="451"/>
      <c r="AM1" s="451"/>
      <c r="AN1" s="451"/>
      <c r="AO1" s="451"/>
      <c r="AP1" s="451"/>
      <c r="AQ1" s="451"/>
      <c r="AR1" s="451"/>
      <c r="AS1" s="451"/>
      <c r="AT1" s="452"/>
    </row>
    <row r="2" spans="1:46" ht="15.75" thickBot="1" x14ac:dyDescent="0.3">
      <c r="A2" s="453"/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5"/>
      <c r="AF2" s="453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5"/>
    </row>
    <row r="3" spans="1:46" x14ac:dyDescent="0.25">
      <c r="A3" s="311" t="s">
        <v>134</v>
      </c>
      <c r="B3" s="303"/>
      <c r="C3" s="310" t="s">
        <v>66</v>
      </c>
      <c r="D3" s="303"/>
      <c r="E3" s="304" t="s">
        <v>64</v>
      </c>
      <c r="F3" s="306"/>
      <c r="G3" s="305" t="s">
        <v>65</v>
      </c>
      <c r="H3" s="306"/>
      <c r="I3" s="304" t="s">
        <v>123</v>
      </c>
      <c r="J3" s="307"/>
      <c r="K3" s="308"/>
      <c r="L3" s="309"/>
      <c r="M3" s="306"/>
      <c r="N3" s="312" t="s">
        <v>63</v>
      </c>
      <c r="O3" s="306"/>
      <c r="AF3" s="311" t="s">
        <v>134</v>
      </c>
      <c r="AG3" s="303"/>
      <c r="AH3" s="310" t="s">
        <v>66</v>
      </c>
      <c r="AI3" s="303"/>
      <c r="AJ3" s="304" t="s">
        <v>64</v>
      </c>
      <c r="AK3" s="306"/>
      <c r="AL3" s="305" t="s">
        <v>65</v>
      </c>
      <c r="AM3" s="306"/>
      <c r="AN3" s="304" t="s">
        <v>123</v>
      </c>
      <c r="AO3" s="307"/>
      <c r="AP3" s="308"/>
      <c r="AQ3" s="309" t="s">
        <v>62</v>
      </c>
      <c r="AR3" s="306"/>
      <c r="AS3" s="306"/>
      <c r="AT3" s="306"/>
    </row>
    <row r="4" spans="1:46" ht="15.75" thickBot="1" x14ac:dyDescent="0.3"/>
    <row r="5" spans="1:46" ht="10.5" customHeight="1" x14ac:dyDescent="0.25">
      <c r="I5" s="456" t="s">
        <v>138</v>
      </c>
      <c r="J5" s="457"/>
      <c r="K5" s="320"/>
      <c r="L5" s="320"/>
      <c r="M5" s="320"/>
      <c r="N5" s="320"/>
      <c r="O5" s="321"/>
    </row>
    <row r="6" spans="1:46" ht="10.5" customHeight="1" x14ac:dyDescent="0.25">
      <c r="B6" s="3"/>
      <c r="I6" s="458" t="s">
        <v>137</v>
      </c>
      <c r="J6" s="459"/>
      <c r="K6" s="322"/>
      <c r="L6" s="322"/>
      <c r="M6" s="322"/>
      <c r="N6" s="322"/>
      <c r="O6" s="323"/>
    </row>
    <row r="7" spans="1:46" ht="10.5" customHeight="1" x14ac:dyDescent="0.25">
      <c r="I7" s="458" t="s">
        <v>139</v>
      </c>
      <c r="J7" s="459"/>
      <c r="K7" s="322"/>
      <c r="L7" s="322"/>
      <c r="M7" s="322"/>
      <c r="N7" s="322"/>
      <c r="O7" s="323"/>
    </row>
    <row r="8" spans="1:46" ht="10.5" customHeight="1" x14ac:dyDescent="0.25">
      <c r="I8" s="458" t="s">
        <v>140</v>
      </c>
      <c r="J8" s="459"/>
      <c r="K8" s="322"/>
      <c r="L8" s="322"/>
      <c r="M8" s="322"/>
      <c r="N8" s="322"/>
      <c r="O8" s="323"/>
    </row>
    <row r="9" spans="1:46" ht="10.5" customHeight="1" x14ac:dyDescent="0.25">
      <c r="I9" s="458" t="s">
        <v>141</v>
      </c>
      <c r="J9" s="459"/>
      <c r="K9" s="322"/>
      <c r="L9" s="322"/>
      <c r="M9" s="322"/>
      <c r="N9" s="322"/>
      <c r="O9" s="323"/>
    </row>
    <row r="10" spans="1:46" ht="10.5" customHeight="1" x14ac:dyDescent="0.25">
      <c r="I10" s="458" t="s">
        <v>142</v>
      </c>
      <c r="J10" s="459"/>
      <c r="K10" s="322"/>
      <c r="L10" s="322"/>
      <c r="M10" s="322"/>
      <c r="N10" s="322"/>
      <c r="O10" s="323"/>
    </row>
    <row r="11" spans="1:46" ht="10.5" customHeight="1" thickBot="1" x14ac:dyDescent="0.3">
      <c r="I11" s="460" t="s">
        <v>143</v>
      </c>
      <c r="J11" s="461"/>
      <c r="K11" s="324"/>
      <c r="L11" s="324"/>
      <c r="M11" s="324"/>
      <c r="N11" s="324"/>
      <c r="O11" s="325"/>
    </row>
    <row r="22" spans="1:1" x14ac:dyDescent="0.25">
      <c r="A22" s="7"/>
    </row>
    <row r="62" spans="1:2" x14ac:dyDescent="0.25">
      <c r="A62" s="7"/>
      <c r="B62" s="3"/>
    </row>
    <row r="87" spans="16:16" x14ac:dyDescent="0.25">
      <c r="P87" s="7" t="s">
        <v>121</v>
      </c>
    </row>
    <row r="127" spans="16:16" x14ac:dyDescent="0.25">
      <c r="P127" s="7" t="s">
        <v>121</v>
      </c>
    </row>
    <row r="152" spans="16:16" x14ac:dyDescent="0.25">
      <c r="P152" s="7" t="s">
        <v>121</v>
      </c>
    </row>
    <row r="175" spans="8:8" x14ac:dyDescent="0.25">
      <c r="H175" s="319" t="s">
        <v>121</v>
      </c>
    </row>
  </sheetData>
  <sheetProtection algorithmName="SHA-512" hashValue="qmXreRuxYH/waCU9XYaUoVskFpffkL7/R61i50De8dWv26mGIq45+JUCEocXBgsUjPsgtiPcgtf2fq7RofUDaA==" saltValue="xETZhWSDyDPgtahiDbHy3Q==" spinCount="100000" sheet="1" objects="1" scenarios="1"/>
  <mergeCells count="9">
    <mergeCell ref="A1:O2"/>
    <mergeCell ref="AF1:AT2"/>
    <mergeCell ref="I5:J5"/>
    <mergeCell ref="I6:J6"/>
    <mergeCell ref="I11:J11"/>
    <mergeCell ref="I7:J7"/>
    <mergeCell ref="I9:J9"/>
    <mergeCell ref="I10:J10"/>
    <mergeCell ref="I8:J8"/>
  </mergeCells>
  <hyperlinks>
    <hyperlink ref="E3" location="MMcK!A1" display="Ir a M/M/c//K" xr:uid="{9987F670-3C81-49CA-8FA8-2CDFA872C724}"/>
    <hyperlink ref="G3" location="MMcL!A1" display="ir a M/M/c/L" xr:uid="{CD99B2B4-6538-4442-AFCE-F6DD14C50101}"/>
    <hyperlink ref="I3" location="'MG1'!A1" display="ir a M/G/1" xr:uid="{A15779F2-00AE-44AC-B306-8B50111BD9E3}"/>
    <hyperlink ref="C3" location="MMc!A1" display="Ir a M/M/c" xr:uid="{A0BA464C-02EA-4F08-9570-8F4946FAF5B5}"/>
    <hyperlink ref="AJ3" location="MMcK!A1" display="Ir a M/M/c//K" xr:uid="{C54DA48D-C101-468F-B533-FEE3DA68E06F}"/>
    <hyperlink ref="AL3" location="MMcL!A1" display="ir a M/M/c/L" xr:uid="{1264BC8D-2CC7-4BBD-8E1B-97378934887B}"/>
    <hyperlink ref="AN3" location="'MG1'!A1" display="ir a M/G/1" xr:uid="{F4AC782E-DCD4-465C-ABBB-52A48EB3456E}"/>
    <hyperlink ref="AQ3" location="Ayuda!A1" display="ayuda" xr:uid="{E2CBB364-D24F-4846-A05E-8AE0FE58BBF5}"/>
    <hyperlink ref="AH3" location="MMc!A1" display="Ir a M/M/c" xr:uid="{2E78D3BA-E305-41F5-8B7C-4B5F92CD6B3D}"/>
    <hyperlink ref="A3" location="DATOS!A1" display="Ir a DATOS" xr:uid="{7CA8986A-60A8-4AFB-B595-92A821ECAAEA}"/>
    <hyperlink ref="N3" location="Ayuda!AT1" display="documentación" xr:uid="{262CB45F-5165-4EBC-8831-4B448A0C5DD8}"/>
    <hyperlink ref="AF3" location="DATOS!A1" display="Ir a DATOS" xr:uid="{A27ABD8E-B2A2-4E8D-82F8-28415A97906F}"/>
    <hyperlink ref="H175" location="Ayuda!A1" display="Arriba" xr:uid="{AB66A225-FCAB-4050-9BD0-3D40BFDF83C0}"/>
    <hyperlink ref="I5:J5" location="Ayuda!A80" display="Descripcion gral. de hojas" xr:uid="{090896AC-AD8F-4450-BD56-28FD36B38F75}"/>
    <hyperlink ref="P87" location="Ayuda!A1" display="Arriba" xr:uid="{BEBF4D23-F94F-4542-AD64-80CF0573F30D}"/>
    <hyperlink ref="I6:J6" location="Ayuda!A86" display="Ingreso de datos" xr:uid="{BCBA4940-45E4-41FB-804F-05BCCDEF6FEC}"/>
    <hyperlink ref="I7:J7" location="Ayuda!A115" display="MG1" xr:uid="{76F8364F-A831-4BBB-AA4F-9EA2DE9B18AB}"/>
    <hyperlink ref="P127" location="Ayuda!A1" display="Arriba" xr:uid="{237283E2-2C1B-4116-B682-BA54A753F23E}"/>
    <hyperlink ref="I8:J8" location="Ayuda!A133" display="Tabla probabilidades" xr:uid="{23F4D99C-6FC3-464C-A44D-99A39D4DDB6E}"/>
    <hyperlink ref="I9:J9" location="Ayuda!A133" display="Análisis de capacidad" xr:uid="{333DEAAC-E325-4F0B-B5B9-395B81AF067E}"/>
    <hyperlink ref="P152" location="Ayuda!A1" display="Arriba" xr:uid="{BA804C21-6D4F-4409-8313-494CAE373B96}"/>
    <hyperlink ref="I10:J10" location="Ayuda!A163" display="Protección de hojas" xr:uid="{82A79852-098C-47E8-9FDA-86BDE3DA9693}"/>
    <hyperlink ref="I11:J11" location="Ayuda!A163" display="Datos de la versión" xr:uid="{78ACEA1D-850D-446E-A6AA-64C2616698DA}"/>
  </hyperlinks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shapeId="7174" r:id="rId4">
          <objectPr defaultSize="0" r:id="rId5">
            <anchor moveWithCells="1">
              <from>
                <xdr:col>39</xdr:col>
                <xdr:colOff>0</xdr:colOff>
                <xdr:row>4</xdr:row>
                <xdr:rowOff>0</xdr:rowOff>
              </from>
              <to>
                <xdr:col>46</xdr:col>
                <xdr:colOff>333375</xdr:colOff>
                <xdr:row>48</xdr:row>
                <xdr:rowOff>38100</xdr:rowOff>
              </to>
            </anchor>
          </objectPr>
        </oleObject>
      </mc:Choice>
      <mc:Fallback>
        <oleObject progId="AcroExch.Document.DC" shapeId="7174" r:id="rId4"/>
      </mc:Fallback>
    </mc:AlternateContent>
    <mc:AlternateContent xmlns:mc="http://schemas.openxmlformats.org/markup-compatibility/2006">
      <mc:Choice Requires="x14">
        <oleObject progId="AcroExch.Document.DC" shapeId="7175" r:id="rId6">
          <objectPr defaultSize="0" r:id="rId7">
            <anchor moveWithCells="1">
              <from>
                <xdr:col>31</xdr:col>
                <xdr:colOff>0</xdr:colOff>
                <xdr:row>47</xdr:row>
                <xdr:rowOff>0</xdr:rowOff>
              </from>
              <to>
                <xdr:col>38</xdr:col>
                <xdr:colOff>333375</xdr:colOff>
                <xdr:row>89</xdr:row>
                <xdr:rowOff>19050</xdr:rowOff>
              </to>
            </anchor>
          </objectPr>
        </oleObject>
      </mc:Choice>
      <mc:Fallback>
        <oleObject progId="AcroExch.Document.DC" shapeId="7175" r:id="rId6"/>
      </mc:Fallback>
    </mc:AlternateContent>
    <mc:AlternateContent xmlns:mc="http://schemas.openxmlformats.org/markup-compatibility/2006">
      <mc:Choice Requires="x14">
        <oleObject progId="AcroExch.Document.DC" shapeId="7176" r:id="rId8">
          <objectPr defaultSize="0" r:id="rId9">
            <anchor moveWithCells="1">
              <from>
                <xdr:col>39</xdr:col>
                <xdr:colOff>0</xdr:colOff>
                <xdr:row>47</xdr:row>
                <xdr:rowOff>0</xdr:rowOff>
              </from>
              <to>
                <xdr:col>46</xdr:col>
                <xdr:colOff>333375</xdr:colOff>
                <xdr:row>89</xdr:row>
                <xdr:rowOff>19050</xdr:rowOff>
              </to>
            </anchor>
          </objectPr>
        </oleObject>
      </mc:Choice>
      <mc:Fallback>
        <oleObject progId="AcroExch.Document.DC" shapeId="7176" r:id="rId8"/>
      </mc:Fallback>
    </mc:AlternateContent>
    <mc:AlternateContent xmlns:mc="http://schemas.openxmlformats.org/markup-compatibility/2006">
      <mc:Choice Requires="x14">
        <oleObject progId="AcroExch.Document.DC" shapeId="7177" r:id="rId10">
          <objectPr defaultSize="0" r:id="rId11">
            <anchor moveWithCells="1">
              <from>
                <xdr:col>31</xdr:col>
                <xdr:colOff>0</xdr:colOff>
                <xdr:row>90</xdr:row>
                <xdr:rowOff>0</xdr:rowOff>
              </from>
              <to>
                <xdr:col>38</xdr:col>
                <xdr:colOff>333375</xdr:colOff>
                <xdr:row>132</xdr:row>
                <xdr:rowOff>19050</xdr:rowOff>
              </to>
            </anchor>
          </objectPr>
        </oleObject>
      </mc:Choice>
      <mc:Fallback>
        <oleObject progId="AcroExch.Document.DC" shapeId="7177" r:id="rId10"/>
      </mc:Fallback>
    </mc:AlternateContent>
    <mc:AlternateContent xmlns:mc="http://schemas.openxmlformats.org/markup-compatibility/2006">
      <mc:Choice Requires="x14">
        <oleObject progId="AcroExch.Document.DC" shapeId="7178" r:id="rId12">
          <objectPr defaultSize="0" r:id="rId13">
            <anchor moveWithCells="1">
              <from>
                <xdr:col>39</xdr:col>
                <xdr:colOff>0</xdr:colOff>
                <xdr:row>90</xdr:row>
                <xdr:rowOff>0</xdr:rowOff>
              </from>
              <to>
                <xdr:col>46</xdr:col>
                <xdr:colOff>333375</xdr:colOff>
                <xdr:row>132</xdr:row>
                <xdr:rowOff>19050</xdr:rowOff>
              </to>
            </anchor>
          </objectPr>
        </oleObject>
      </mc:Choice>
      <mc:Fallback>
        <oleObject progId="AcroExch.Document.DC" shapeId="7178" r:id="rId12"/>
      </mc:Fallback>
    </mc:AlternateContent>
    <mc:AlternateContent xmlns:mc="http://schemas.openxmlformats.org/markup-compatibility/2006">
      <mc:Choice Requires="x14">
        <oleObject progId="AcroExch.Document.DC" shapeId="7179" r:id="rId14">
          <objectPr defaultSize="0" r:id="rId15">
            <anchor moveWithCells="1">
              <from>
                <xdr:col>31</xdr:col>
                <xdr:colOff>0</xdr:colOff>
                <xdr:row>133</xdr:row>
                <xdr:rowOff>0</xdr:rowOff>
              </from>
              <to>
                <xdr:col>38</xdr:col>
                <xdr:colOff>333375</xdr:colOff>
                <xdr:row>175</xdr:row>
                <xdr:rowOff>19050</xdr:rowOff>
              </to>
            </anchor>
          </objectPr>
        </oleObject>
      </mc:Choice>
      <mc:Fallback>
        <oleObject progId="AcroExch.Document.DC" shapeId="7179" r:id="rId14"/>
      </mc:Fallback>
    </mc:AlternateContent>
    <mc:AlternateContent xmlns:mc="http://schemas.openxmlformats.org/markup-compatibility/2006">
      <mc:Choice Requires="x14">
        <oleObject progId="AcroExch.Document.DC" shapeId="7180" r:id="rId16">
          <objectPr defaultSize="0" r:id="rId17">
            <anchor moveWithCells="1">
              <from>
                <xdr:col>39</xdr:col>
                <xdr:colOff>0</xdr:colOff>
                <xdr:row>133</xdr:row>
                <xdr:rowOff>0</xdr:rowOff>
              </from>
              <to>
                <xdr:col>49</xdr:col>
                <xdr:colOff>400050</xdr:colOff>
                <xdr:row>162</xdr:row>
                <xdr:rowOff>142875</xdr:rowOff>
              </to>
            </anchor>
          </objectPr>
        </oleObject>
      </mc:Choice>
      <mc:Fallback>
        <oleObject progId="AcroExch.Document.DC" shapeId="7180" r:id="rId16"/>
      </mc:Fallback>
    </mc:AlternateContent>
    <mc:AlternateContent xmlns:mc="http://schemas.openxmlformats.org/markup-compatibility/2006">
      <mc:Choice Requires="x14">
        <oleObject progId="AcroExch.Document.DC" shapeId="7181" r:id="rId18">
          <objectPr defaultSize="0" r:id="rId19">
            <anchor moveWithCells="1">
              <from>
                <xdr:col>31</xdr:col>
                <xdr:colOff>0</xdr:colOff>
                <xdr:row>176</xdr:row>
                <xdr:rowOff>0</xdr:rowOff>
              </from>
              <to>
                <xdr:col>41</xdr:col>
                <xdr:colOff>400050</xdr:colOff>
                <xdr:row>205</xdr:row>
                <xdr:rowOff>142875</xdr:rowOff>
              </to>
            </anchor>
          </objectPr>
        </oleObject>
      </mc:Choice>
      <mc:Fallback>
        <oleObject progId="AcroExch.Document.DC" shapeId="7181" r:id="rId18"/>
      </mc:Fallback>
    </mc:AlternateContent>
    <mc:AlternateContent xmlns:mc="http://schemas.openxmlformats.org/markup-compatibility/2006">
      <mc:Choice Requires="x14">
        <oleObject progId="AcroExch.Document.DC" shapeId="7182" r:id="rId20">
          <objectPr defaultSize="0" r:id="rId21">
            <anchor moveWithCells="1">
              <from>
                <xdr:col>42</xdr:col>
                <xdr:colOff>0</xdr:colOff>
                <xdr:row>176</xdr:row>
                <xdr:rowOff>0</xdr:rowOff>
              </from>
              <to>
                <xdr:col>52</xdr:col>
                <xdr:colOff>400050</xdr:colOff>
                <xdr:row>205</xdr:row>
                <xdr:rowOff>142875</xdr:rowOff>
              </to>
            </anchor>
          </objectPr>
        </oleObject>
      </mc:Choice>
      <mc:Fallback>
        <oleObject progId="AcroExch.Document.DC" shapeId="7182" r:id="rId20"/>
      </mc:Fallback>
    </mc:AlternateContent>
    <mc:AlternateContent xmlns:mc="http://schemas.openxmlformats.org/markup-compatibility/2006">
      <mc:Choice Requires="x14">
        <oleObject progId="AcroExch.Document.DC" shapeId="7183" r:id="rId22">
          <objectPr defaultSize="0" r:id="rId23">
            <anchor moveWithCells="1">
              <from>
                <xdr:col>31</xdr:col>
                <xdr:colOff>0</xdr:colOff>
                <xdr:row>206</xdr:row>
                <xdr:rowOff>0</xdr:rowOff>
              </from>
              <to>
                <xdr:col>41</xdr:col>
                <xdr:colOff>400050</xdr:colOff>
                <xdr:row>235</xdr:row>
                <xdr:rowOff>142875</xdr:rowOff>
              </to>
            </anchor>
          </objectPr>
        </oleObject>
      </mc:Choice>
      <mc:Fallback>
        <oleObject progId="AcroExch.Document.DC" shapeId="7183" r:id="rId22"/>
      </mc:Fallback>
    </mc:AlternateContent>
    <mc:AlternateContent xmlns:mc="http://schemas.openxmlformats.org/markup-compatibility/2006">
      <mc:Choice Requires="x14">
        <oleObject progId="AcroExch.Document.DC" shapeId="7184" r:id="rId24">
          <objectPr defaultSize="0" r:id="rId25">
            <anchor moveWithCells="1">
              <from>
                <xdr:col>31</xdr:col>
                <xdr:colOff>0</xdr:colOff>
                <xdr:row>4</xdr:row>
                <xdr:rowOff>0</xdr:rowOff>
              </from>
              <to>
                <xdr:col>38</xdr:col>
                <xdr:colOff>333375</xdr:colOff>
                <xdr:row>48</xdr:row>
                <xdr:rowOff>38100</xdr:rowOff>
              </to>
            </anchor>
          </objectPr>
        </oleObject>
      </mc:Choice>
      <mc:Fallback>
        <oleObject progId="AcroExch.Document.DC" shapeId="7184" r:id="rId24"/>
      </mc:Fallback>
    </mc:AlternateContent>
    <mc:AlternateContent xmlns:mc="http://schemas.openxmlformats.org/markup-compatibility/2006">
      <mc:Choice Requires="x14">
        <oleObject progId="AcroExch.Document.DC" shapeId="7185" r:id="rId26">
          <objectPr defaultSize="0" r:id="rId27">
            <anchor moveWithCells="1">
              <from>
                <xdr:col>0</xdr:col>
                <xdr:colOff>38100</xdr:colOff>
                <xdr:row>4</xdr:row>
                <xdr:rowOff>0</xdr:rowOff>
              </from>
              <to>
                <xdr:col>7</xdr:col>
                <xdr:colOff>371475</xdr:colOff>
                <xdr:row>48</xdr:row>
                <xdr:rowOff>38100</xdr:rowOff>
              </to>
            </anchor>
          </objectPr>
        </oleObject>
      </mc:Choice>
      <mc:Fallback>
        <oleObject progId="AcroExch.Document.DC" shapeId="7185" r:id="rId26"/>
      </mc:Fallback>
    </mc:AlternateContent>
    <mc:AlternateContent xmlns:mc="http://schemas.openxmlformats.org/markup-compatibility/2006">
      <mc:Choice Requires="x14">
        <oleObject progId="AcroExch.Document.DC" shapeId="7186" r:id="rId28">
          <objectPr defaultSize="0" r:id="rId29">
            <anchor moveWithCells="1">
              <from>
                <xdr:col>0</xdr:col>
                <xdr:colOff>28575</xdr:colOff>
                <xdr:row>46</xdr:row>
                <xdr:rowOff>47625</xdr:rowOff>
              </from>
              <to>
                <xdr:col>7</xdr:col>
                <xdr:colOff>361950</xdr:colOff>
                <xdr:row>88</xdr:row>
                <xdr:rowOff>66675</xdr:rowOff>
              </to>
            </anchor>
          </objectPr>
        </oleObject>
      </mc:Choice>
      <mc:Fallback>
        <oleObject progId="AcroExch.Document.DC" shapeId="7186" r:id="rId28"/>
      </mc:Fallback>
    </mc:AlternateContent>
    <mc:AlternateContent xmlns:mc="http://schemas.openxmlformats.org/markup-compatibility/2006">
      <mc:Choice Requires="x14">
        <oleObject progId="AcroExch.Document.DC" shapeId="7187" r:id="rId30">
          <objectPr defaultSize="0" r:id="rId31">
            <anchor moveWithCells="1">
              <from>
                <xdr:col>7</xdr:col>
                <xdr:colOff>381000</xdr:colOff>
                <xdr:row>46</xdr:row>
                <xdr:rowOff>47625</xdr:rowOff>
              </from>
              <to>
                <xdr:col>14</xdr:col>
                <xdr:colOff>714375</xdr:colOff>
                <xdr:row>88</xdr:row>
                <xdr:rowOff>66675</xdr:rowOff>
              </to>
            </anchor>
          </objectPr>
        </oleObject>
      </mc:Choice>
      <mc:Fallback>
        <oleObject progId="AcroExch.Document.DC" shapeId="7187" r:id="rId30"/>
      </mc:Fallback>
    </mc:AlternateContent>
    <mc:AlternateContent xmlns:mc="http://schemas.openxmlformats.org/markup-compatibility/2006">
      <mc:Choice Requires="x14">
        <oleObject progId="AcroExch.Document.DC" shapeId="7188" r:id="rId32">
          <objectPr defaultSize="0" r:id="rId33">
            <anchor moveWithCells="1">
              <from>
                <xdr:col>0</xdr:col>
                <xdr:colOff>28575</xdr:colOff>
                <xdr:row>88</xdr:row>
                <xdr:rowOff>95250</xdr:rowOff>
              </from>
              <to>
                <xdr:col>7</xdr:col>
                <xdr:colOff>361950</xdr:colOff>
                <xdr:row>130</xdr:row>
                <xdr:rowOff>114300</xdr:rowOff>
              </to>
            </anchor>
          </objectPr>
        </oleObject>
      </mc:Choice>
      <mc:Fallback>
        <oleObject progId="AcroExch.Document.DC" shapeId="7188" r:id="rId32"/>
      </mc:Fallback>
    </mc:AlternateContent>
    <mc:AlternateContent xmlns:mc="http://schemas.openxmlformats.org/markup-compatibility/2006">
      <mc:Choice Requires="x14">
        <oleObject progId="AcroExch.Document.DC" shapeId="7189" r:id="rId34">
          <objectPr defaultSize="0" r:id="rId35">
            <anchor moveWithCells="1">
              <from>
                <xdr:col>7</xdr:col>
                <xdr:colOff>381000</xdr:colOff>
                <xdr:row>88</xdr:row>
                <xdr:rowOff>95250</xdr:rowOff>
              </from>
              <to>
                <xdr:col>14</xdr:col>
                <xdr:colOff>714375</xdr:colOff>
                <xdr:row>130</xdr:row>
                <xdr:rowOff>114300</xdr:rowOff>
              </to>
            </anchor>
          </objectPr>
        </oleObject>
      </mc:Choice>
      <mc:Fallback>
        <oleObject progId="AcroExch.Document.DC" shapeId="7189" r:id="rId34"/>
      </mc:Fallback>
    </mc:AlternateContent>
    <mc:AlternateContent xmlns:mc="http://schemas.openxmlformats.org/markup-compatibility/2006">
      <mc:Choice Requires="x14">
        <oleObject progId="AcroExch.Document.DC" shapeId="7190" r:id="rId36">
          <objectPr defaultSize="0" r:id="rId37">
            <anchor moveWithCells="1">
              <from>
                <xdr:col>0</xdr:col>
                <xdr:colOff>19050</xdr:colOff>
                <xdr:row>130</xdr:row>
                <xdr:rowOff>142875</xdr:rowOff>
              </from>
              <to>
                <xdr:col>7</xdr:col>
                <xdr:colOff>352425</xdr:colOff>
                <xdr:row>172</xdr:row>
                <xdr:rowOff>161925</xdr:rowOff>
              </to>
            </anchor>
          </objectPr>
        </oleObject>
      </mc:Choice>
      <mc:Fallback>
        <oleObject progId="AcroExch.Document.DC" shapeId="7190" r:id="rId36"/>
      </mc:Fallback>
    </mc:AlternateContent>
    <mc:AlternateContent xmlns:mc="http://schemas.openxmlformats.org/markup-compatibility/2006">
      <mc:Choice Requires="x14">
        <oleObject progId="AcroExch.Document.DC" shapeId="7191" r:id="rId38">
          <objectPr defaultSize="0" r:id="rId39">
            <anchor moveWithCells="1">
              <from>
                <xdr:col>7</xdr:col>
                <xdr:colOff>381000</xdr:colOff>
                <xdr:row>130</xdr:row>
                <xdr:rowOff>142875</xdr:rowOff>
              </from>
              <to>
                <xdr:col>14</xdr:col>
                <xdr:colOff>714375</xdr:colOff>
                <xdr:row>172</xdr:row>
                <xdr:rowOff>161925</xdr:rowOff>
              </to>
            </anchor>
          </objectPr>
        </oleObject>
      </mc:Choice>
      <mc:Fallback>
        <oleObject progId="AcroExch.Document.DC" shapeId="7191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37</vt:i4>
      </vt:variant>
    </vt:vector>
  </HeadingPairs>
  <TitlesOfParts>
    <vt:vector size="43" baseType="lpstr">
      <vt:lpstr>DATOS</vt:lpstr>
      <vt:lpstr>MMc</vt:lpstr>
      <vt:lpstr>MMcK</vt:lpstr>
      <vt:lpstr>MMcL</vt:lpstr>
      <vt:lpstr>MG1</vt:lpstr>
      <vt:lpstr>Ayuda</vt:lpstr>
      <vt:lpstr>cclate</vt:lpstr>
      <vt:lpstr>cclb</vt:lpstr>
      <vt:lpstr>cclesp</vt:lpstr>
      <vt:lpstr>cl</vt:lpstr>
      <vt:lpstr>clminus1</vt:lpstr>
      <vt:lpstr>clpl3</vt:lpstr>
      <vt:lpstr>clplus1</vt:lpstr>
      <vt:lpstr>clplus2</vt:lpstr>
      <vt:lpstr>clplus3</vt:lpstr>
      <vt:lpstr>clplus4</vt:lpstr>
      <vt:lpstr>clplus5</vt:lpstr>
      <vt:lpstr>coso2</vt:lpstr>
      <vt:lpstr>csli</vt:lpstr>
      <vt:lpstr>csoc</vt:lpstr>
      <vt:lpstr>eleq1</vt:lpstr>
      <vt:lpstr>esp</vt:lpstr>
      <vt:lpstr>gamma</vt:lpstr>
      <vt:lpstr>Lambda</vt:lpstr>
      <vt:lpstr>lmbd</vt:lpstr>
      <vt:lpstr>lmbd2</vt:lpstr>
      <vt:lpstr>Lq</vt:lpstr>
      <vt:lpstr>micro</vt:lpstr>
      <vt:lpstr>OneOverMu</vt:lpstr>
      <vt:lpstr>Pe0</vt:lpstr>
      <vt:lpstr>peka</vt:lpstr>
      <vt:lpstr>peka2</vt:lpstr>
      <vt:lpstr>pop</vt:lpstr>
      <vt:lpstr>Rho</vt:lpstr>
      <vt:lpstr>servi1</vt:lpstr>
      <vt:lpstr>servi2</vt:lpstr>
      <vt:lpstr>servi3</vt:lpstr>
      <vt:lpstr>servi4</vt:lpstr>
      <vt:lpstr>servi5</vt:lpstr>
      <vt:lpstr>servi6</vt:lpstr>
      <vt:lpstr>Sigma</vt:lpstr>
      <vt:lpstr>tau</vt:lpstr>
      <vt:lpstr>Wq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</dc:creator>
  <cp:lastModifiedBy>Alejandro Roberti</cp:lastModifiedBy>
  <dcterms:created xsi:type="dcterms:W3CDTF">2020-05-23T17:58:28Z</dcterms:created>
  <dcterms:modified xsi:type="dcterms:W3CDTF">2026-03-15T17:53:01Z</dcterms:modified>
</cp:coreProperties>
</file>