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EsteEquipo\Escritorio\WinQSExc\Revision2026\ExistenteAl13mar26\"/>
    </mc:Choice>
  </mc:AlternateContent>
  <xr:revisionPtr revIDLastSave="0" documentId="13_ncr:1_{0322A284-C177-4415-8172-D247A1F05AEA}" xr6:coauthVersionLast="47" xr6:coauthVersionMax="47" xr10:uidLastSave="{00000000-0000-0000-0000-000000000000}"/>
  <bookViews>
    <workbookView xWindow="-120" yWindow="-120" windowWidth="20070" windowHeight="11760" xr2:uid="{BD718F4A-D4B4-4129-AEAE-40C503D2E197}"/>
  </bookViews>
  <sheets>
    <sheet name="TomaDec" sheetId="3" r:id="rId1"/>
  </sheets>
  <definedNames>
    <definedName name="Matriz_de_arrepentimientos">TomaDec!$AL$2:$AL$24</definedName>
    <definedName name="Vector_J">TomaDec!$BF$4:$BF$23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4" i="3" l="1" a="1"/>
  <c r="A24" i="3" s="1"/>
  <c r="R149" i="3" a="1"/>
  <c r="R149" i="3" s="1"/>
  <c r="C2" i="3" a="1"/>
  <c r="C2" i="3" s="1"/>
  <c r="R127" i="3" a="1"/>
  <c r="R127" i="3" s="1"/>
  <c r="R107" i="3" a="1"/>
  <c r="R107" i="3" s="1"/>
  <c r="Q80" i="3" a="1"/>
  <c r="Q80" i="3" s="1"/>
  <c r="B17" i="3" a="1"/>
  <c r="B17" i="3" s="1"/>
  <c r="AM24" i="3"/>
  <c r="H24" i="3"/>
  <c r="G24" i="3"/>
  <c r="AL24" i="3" s="1"/>
  <c r="BF8" i="3"/>
  <c r="BF9" i="3"/>
  <c r="BF10" i="3"/>
  <c r="BF11" i="3"/>
  <c r="BF12" i="3"/>
  <c r="BF13" i="3"/>
  <c r="BF14" i="3"/>
  <c r="BF15" i="3"/>
  <c r="BF16" i="3"/>
  <c r="BF17" i="3"/>
  <c r="BF18" i="3"/>
  <c r="BF19" i="3"/>
  <c r="BF20" i="3"/>
  <c r="BF21" i="3"/>
  <c r="BF22" i="3"/>
  <c r="BF23" i="3"/>
  <c r="AJ3" i="3" a="1"/>
  <c r="AJ3" i="3" s="1"/>
  <c r="AL6" i="3" l="1"/>
  <c r="BE23" i="3"/>
  <c r="BD23" i="3"/>
  <c r="BC23" i="3"/>
  <c r="BB23" i="3"/>
  <c r="BA23" i="3"/>
  <c r="AZ23" i="3"/>
  <c r="AY23" i="3"/>
  <c r="AX23" i="3"/>
  <c r="AW23" i="3"/>
  <c r="AV23" i="3"/>
  <c r="AU23" i="3"/>
  <c r="AT23" i="3"/>
  <c r="AS23" i="3"/>
  <c r="AR23" i="3"/>
  <c r="AQ23" i="3"/>
  <c r="AP23" i="3"/>
  <c r="AO23" i="3"/>
  <c r="AN23" i="3"/>
  <c r="AM23" i="3"/>
  <c r="AL23" i="3"/>
  <c r="AK23" i="3"/>
  <c r="AH23" i="3"/>
  <c r="AG23" i="3"/>
  <c r="AC23" i="3"/>
  <c r="AA23" i="3"/>
  <c r="AF23" i="3" s="1"/>
  <c r="F23" i="3"/>
  <c r="BE22" i="3"/>
  <c r="BD22" i="3"/>
  <c r="BC22" i="3"/>
  <c r="BB22" i="3"/>
  <c r="BA22" i="3"/>
  <c r="AZ22" i="3"/>
  <c r="AY22" i="3"/>
  <c r="AX22" i="3"/>
  <c r="AW22" i="3"/>
  <c r="AV22" i="3"/>
  <c r="AU22" i="3"/>
  <c r="AT22" i="3"/>
  <c r="AS22" i="3"/>
  <c r="AR22" i="3"/>
  <c r="AQ22" i="3"/>
  <c r="AP22" i="3"/>
  <c r="AO22" i="3"/>
  <c r="AN22" i="3"/>
  <c r="AM22" i="3"/>
  <c r="AL22" i="3"/>
  <c r="AK22" i="3"/>
  <c r="AH22" i="3"/>
  <c r="AG22" i="3"/>
  <c r="AF22" i="3"/>
  <c r="AB22" i="3"/>
  <c r="AA22" i="3"/>
  <c r="AE22" i="3" s="1"/>
  <c r="F22" i="3"/>
  <c r="BE21" i="3"/>
  <c r="BD21" i="3"/>
  <c r="BC21" i="3"/>
  <c r="BB21" i="3"/>
  <c r="BA21" i="3"/>
  <c r="AZ21" i="3"/>
  <c r="AY21" i="3"/>
  <c r="AX21" i="3"/>
  <c r="AW21" i="3"/>
  <c r="AV21" i="3"/>
  <c r="AU21" i="3"/>
  <c r="AT21" i="3"/>
  <c r="AS21" i="3"/>
  <c r="AR21" i="3"/>
  <c r="AQ21" i="3"/>
  <c r="AP21" i="3"/>
  <c r="AO21" i="3"/>
  <c r="AN21" i="3"/>
  <c r="AM21" i="3"/>
  <c r="AL21" i="3"/>
  <c r="AK21" i="3"/>
  <c r="AH21" i="3"/>
  <c r="AG21" i="3"/>
  <c r="AF21" i="3"/>
  <c r="AB21" i="3"/>
  <c r="AA21" i="3"/>
  <c r="AE21" i="3" s="1"/>
  <c r="F21" i="3"/>
  <c r="BE20" i="3"/>
  <c r="BD20" i="3"/>
  <c r="BC20" i="3"/>
  <c r="BB20" i="3"/>
  <c r="BA20" i="3"/>
  <c r="AZ20" i="3"/>
  <c r="AY20" i="3"/>
  <c r="AX20" i="3"/>
  <c r="AW20" i="3"/>
  <c r="AV20" i="3"/>
  <c r="AU20" i="3"/>
  <c r="AT20" i="3"/>
  <c r="AS20" i="3"/>
  <c r="AR20" i="3"/>
  <c r="AQ20" i="3"/>
  <c r="AP20" i="3"/>
  <c r="AO20" i="3"/>
  <c r="AN20" i="3"/>
  <c r="AM20" i="3"/>
  <c r="AL20" i="3"/>
  <c r="AK20" i="3"/>
  <c r="AH20" i="3"/>
  <c r="AG20" i="3"/>
  <c r="AA20" i="3"/>
  <c r="AD20" i="3" s="1"/>
  <c r="F20" i="3"/>
  <c r="BE19" i="3"/>
  <c r="BD19" i="3"/>
  <c r="BC19" i="3"/>
  <c r="BB19" i="3"/>
  <c r="BA19" i="3"/>
  <c r="AZ19" i="3"/>
  <c r="AY19" i="3"/>
  <c r="AX19" i="3"/>
  <c r="AW19" i="3"/>
  <c r="AV19" i="3"/>
  <c r="AU19" i="3"/>
  <c r="AT19" i="3"/>
  <c r="AS19" i="3"/>
  <c r="AR19" i="3"/>
  <c r="AQ19" i="3"/>
  <c r="AP19" i="3"/>
  <c r="AO19" i="3"/>
  <c r="AN19" i="3"/>
  <c r="AM19" i="3"/>
  <c r="AL19" i="3"/>
  <c r="AK19" i="3"/>
  <c r="AH19" i="3"/>
  <c r="AG19" i="3"/>
  <c r="AA19" i="3"/>
  <c r="AD19" i="3" s="1"/>
  <c r="F19" i="3"/>
  <c r="BE18" i="3"/>
  <c r="BD18" i="3"/>
  <c r="BC18" i="3"/>
  <c r="BB18" i="3"/>
  <c r="BA18" i="3"/>
  <c r="AZ18" i="3"/>
  <c r="AY18" i="3"/>
  <c r="AX18" i="3"/>
  <c r="AW18" i="3"/>
  <c r="AV18" i="3"/>
  <c r="AU18" i="3"/>
  <c r="AT18" i="3"/>
  <c r="AS18" i="3"/>
  <c r="AR18" i="3"/>
  <c r="AQ18" i="3"/>
  <c r="AP18" i="3"/>
  <c r="AO18" i="3"/>
  <c r="AN18" i="3"/>
  <c r="AM18" i="3"/>
  <c r="AL18" i="3"/>
  <c r="AK18" i="3"/>
  <c r="AH18" i="3"/>
  <c r="AG18" i="3"/>
  <c r="F18" i="3"/>
  <c r="AA18" i="3" s="1"/>
  <c r="BE17" i="3"/>
  <c r="BD17" i="3"/>
  <c r="BC17" i="3"/>
  <c r="BB17" i="3"/>
  <c r="BA17" i="3"/>
  <c r="AZ17" i="3"/>
  <c r="AY17" i="3"/>
  <c r="AX17" i="3"/>
  <c r="AW17" i="3"/>
  <c r="AV17" i="3"/>
  <c r="AU17" i="3"/>
  <c r="AT17" i="3"/>
  <c r="AS17" i="3"/>
  <c r="AR17" i="3"/>
  <c r="AQ17" i="3"/>
  <c r="AP17" i="3"/>
  <c r="AO17" i="3"/>
  <c r="AN17" i="3"/>
  <c r="AM17" i="3"/>
  <c r="AL17" i="3"/>
  <c r="AK17" i="3"/>
  <c r="AH17" i="3"/>
  <c r="AG17" i="3"/>
  <c r="F17" i="3"/>
  <c r="AA17" i="3" s="1"/>
  <c r="BE16" i="3"/>
  <c r="BD16" i="3"/>
  <c r="BC16" i="3"/>
  <c r="BB16" i="3"/>
  <c r="BA16" i="3"/>
  <c r="AZ16" i="3"/>
  <c r="AY16" i="3"/>
  <c r="AX16" i="3"/>
  <c r="AW16" i="3"/>
  <c r="AV16" i="3"/>
  <c r="AU16" i="3"/>
  <c r="AT16" i="3"/>
  <c r="AS16" i="3"/>
  <c r="AR16" i="3"/>
  <c r="AQ16" i="3"/>
  <c r="AP16" i="3"/>
  <c r="AO16" i="3"/>
  <c r="AN16" i="3"/>
  <c r="AM16" i="3"/>
  <c r="AL16" i="3"/>
  <c r="AK16" i="3"/>
  <c r="AH16" i="3"/>
  <c r="AG16" i="3"/>
  <c r="F16" i="3"/>
  <c r="AA16" i="3" s="1"/>
  <c r="BE15" i="3"/>
  <c r="BD15" i="3"/>
  <c r="BC15" i="3"/>
  <c r="BB15" i="3"/>
  <c r="BA15" i="3"/>
  <c r="AZ15" i="3"/>
  <c r="AY15" i="3"/>
  <c r="AX15" i="3"/>
  <c r="AW15" i="3"/>
  <c r="AV15" i="3"/>
  <c r="AU15" i="3"/>
  <c r="AT15" i="3"/>
  <c r="AS15" i="3"/>
  <c r="AR15" i="3"/>
  <c r="AQ15" i="3"/>
  <c r="AP15" i="3"/>
  <c r="AO15" i="3"/>
  <c r="AN15" i="3"/>
  <c r="AM15" i="3"/>
  <c r="AL15" i="3"/>
  <c r="AK15" i="3"/>
  <c r="AH15" i="3"/>
  <c r="AG15" i="3"/>
  <c r="F15" i="3"/>
  <c r="AA15" i="3" s="1"/>
  <c r="BE14" i="3"/>
  <c r="BD14" i="3"/>
  <c r="BC14" i="3"/>
  <c r="BB14" i="3"/>
  <c r="BA14" i="3"/>
  <c r="AZ14" i="3"/>
  <c r="AY14" i="3"/>
  <c r="AX14" i="3"/>
  <c r="AW14" i="3"/>
  <c r="AV14" i="3"/>
  <c r="AU14" i="3"/>
  <c r="AT14" i="3"/>
  <c r="AS14" i="3"/>
  <c r="AR14" i="3"/>
  <c r="AQ14" i="3"/>
  <c r="AP14" i="3"/>
  <c r="AO14" i="3"/>
  <c r="AN14" i="3"/>
  <c r="AM14" i="3"/>
  <c r="AL14" i="3"/>
  <c r="AK14" i="3"/>
  <c r="AH14" i="3"/>
  <c r="AG14" i="3"/>
  <c r="F14" i="3"/>
  <c r="AA14" i="3" s="1"/>
  <c r="BE13" i="3"/>
  <c r="BD13" i="3"/>
  <c r="BC13" i="3"/>
  <c r="BB13" i="3"/>
  <c r="BA13" i="3"/>
  <c r="AZ13" i="3"/>
  <c r="AY13" i="3"/>
  <c r="AX13" i="3"/>
  <c r="AW13" i="3"/>
  <c r="AV13" i="3"/>
  <c r="AU13" i="3"/>
  <c r="AT13" i="3"/>
  <c r="AS13" i="3"/>
  <c r="AR13" i="3"/>
  <c r="AQ13" i="3"/>
  <c r="AP13" i="3"/>
  <c r="AO13" i="3"/>
  <c r="AN13" i="3"/>
  <c r="AM13" i="3"/>
  <c r="AL13" i="3"/>
  <c r="AK13" i="3"/>
  <c r="AH13" i="3"/>
  <c r="AG13" i="3"/>
  <c r="F13" i="3"/>
  <c r="AA13" i="3" s="1"/>
  <c r="BE12" i="3"/>
  <c r="BD12" i="3"/>
  <c r="BC12" i="3"/>
  <c r="BB12" i="3"/>
  <c r="BA12" i="3"/>
  <c r="AZ12" i="3"/>
  <c r="AY12" i="3"/>
  <c r="AX12" i="3"/>
  <c r="AW12" i="3"/>
  <c r="AV12" i="3"/>
  <c r="AU12" i="3"/>
  <c r="AT12" i="3"/>
  <c r="AS12" i="3"/>
  <c r="AR12" i="3"/>
  <c r="AQ12" i="3"/>
  <c r="AP12" i="3"/>
  <c r="AO12" i="3"/>
  <c r="AN12" i="3"/>
  <c r="AM12" i="3"/>
  <c r="AL12" i="3"/>
  <c r="AK12" i="3"/>
  <c r="AH12" i="3"/>
  <c r="AG12" i="3"/>
  <c r="F12" i="3"/>
  <c r="AA12" i="3" s="1"/>
  <c r="BE11" i="3"/>
  <c r="BD11" i="3"/>
  <c r="BC11" i="3"/>
  <c r="BB11" i="3"/>
  <c r="BA11" i="3"/>
  <c r="AZ11" i="3"/>
  <c r="AY11" i="3"/>
  <c r="AX11" i="3"/>
  <c r="AW11" i="3"/>
  <c r="AV11" i="3"/>
  <c r="AU11" i="3"/>
  <c r="AT11" i="3"/>
  <c r="AS11" i="3"/>
  <c r="AR11" i="3"/>
  <c r="AQ11" i="3"/>
  <c r="AP11" i="3"/>
  <c r="AO11" i="3"/>
  <c r="AN11" i="3"/>
  <c r="AM11" i="3"/>
  <c r="AL11" i="3"/>
  <c r="AK11" i="3"/>
  <c r="AH11" i="3"/>
  <c r="AG11" i="3"/>
  <c r="F11" i="3"/>
  <c r="AA11" i="3" s="1"/>
  <c r="BE10" i="3"/>
  <c r="BD10" i="3"/>
  <c r="BC10" i="3"/>
  <c r="BB10" i="3"/>
  <c r="BA10" i="3"/>
  <c r="AZ10" i="3"/>
  <c r="AY10" i="3"/>
  <c r="AX10" i="3"/>
  <c r="AW10" i="3"/>
  <c r="AV10" i="3"/>
  <c r="AU10" i="3"/>
  <c r="AT10" i="3"/>
  <c r="AS10" i="3"/>
  <c r="AR10" i="3"/>
  <c r="AQ10" i="3"/>
  <c r="AP10" i="3"/>
  <c r="AO10" i="3"/>
  <c r="AN10" i="3"/>
  <c r="AM10" i="3"/>
  <c r="AL10" i="3"/>
  <c r="AK10" i="3"/>
  <c r="AH10" i="3"/>
  <c r="AG10" i="3"/>
  <c r="F10" i="3"/>
  <c r="AA10" i="3" s="1"/>
  <c r="BE9" i="3"/>
  <c r="BD9" i="3"/>
  <c r="BC9" i="3"/>
  <c r="BB9" i="3"/>
  <c r="BA9" i="3"/>
  <c r="AZ9" i="3"/>
  <c r="AY9" i="3"/>
  <c r="AX9" i="3"/>
  <c r="AW9" i="3"/>
  <c r="AV9" i="3"/>
  <c r="AU9" i="3"/>
  <c r="AT9" i="3"/>
  <c r="AS9" i="3"/>
  <c r="AR9" i="3"/>
  <c r="AQ9" i="3"/>
  <c r="AP9" i="3"/>
  <c r="AO9" i="3"/>
  <c r="AN9" i="3"/>
  <c r="AM9" i="3"/>
  <c r="AL9" i="3"/>
  <c r="AK9" i="3"/>
  <c r="AH9" i="3"/>
  <c r="AG9" i="3"/>
  <c r="AF9" i="3"/>
  <c r="AB9" i="3"/>
  <c r="AA9" i="3"/>
  <c r="AE9" i="3" s="1"/>
  <c r="F9" i="3"/>
  <c r="BE8" i="3"/>
  <c r="BD8" i="3"/>
  <c r="BC8" i="3"/>
  <c r="BB8" i="3"/>
  <c r="BA8" i="3"/>
  <c r="AZ8" i="3"/>
  <c r="AY8" i="3"/>
  <c r="AX8" i="3"/>
  <c r="AW8" i="3"/>
  <c r="AV8" i="3"/>
  <c r="AU8" i="3"/>
  <c r="AT8" i="3"/>
  <c r="AS8" i="3"/>
  <c r="AR8" i="3"/>
  <c r="AQ8" i="3"/>
  <c r="AP8" i="3"/>
  <c r="AO8" i="3"/>
  <c r="AN8" i="3"/>
  <c r="AM8" i="3"/>
  <c r="AL8" i="3"/>
  <c r="AK8" i="3"/>
  <c r="AH8" i="3"/>
  <c r="AG8" i="3"/>
  <c r="AA8" i="3"/>
  <c r="AD8" i="3" s="1"/>
  <c r="F8" i="3"/>
  <c r="A8" i="3"/>
  <c r="BE7" i="3"/>
  <c r="BD7" i="3"/>
  <c r="BC7" i="3"/>
  <c r="BB7" i="3"/>
  <c r="BA7" i="3"/>
  <c r="AZ7" i="3"/>
  <c r="AY7" i="3"/>
  <c r="AX7" i="3"/>
  <c r="AW7" i="3"/>
  <c r="AV7" i="3"/>
  <c r="AU7" i="3"/>
  <c r="AT7" i="3"/>
  <c r="AS7" i="3"/>
  <c r="AR7" i="3"/>
  <c r="AQ7" i="3"/>
  <c r="AP7" i="3"/>
  <c r="AN7" i="3"/>
  <c r="AM7" i="3"/>
  <c r="AK7" i="3"/>
  <c r="AH7" i="3"/>
  <c r="AG7" i="3"/>
  <c r="AA7" i="3"/>
  <c r="AD7" i="3" s="1"/>
  <c r="F7" i="3"/>
  <c r="BE6" i="3"/>
  <c r="BD6" i="3"/>
  <c r="BC6" i="3"/>
  <c r="BB6" i="3"/>
  <c r="BA6" i="3"/>
  <c r="AZ6" i="3"/>
  <c r="AY6" i="3"/>
  <c r="AX6" i="3"/>
  <c r="AW6" i="3"/>
  <c r="AV6" i="3"/>
  <c r="AU6" i="3"/>
  <c r="AT6" i="3"/>
  <c r="AS6" i="3"/>
  <c r="AR6" i="3"/>
  <c r="AQ6" i="3"/>
  <c r="AP6" i="3"/>
  <c r="AM6" i="3"/>
  <c r="AK6" i="3"/>
  <c r="AH6" i="3"/>
  <c r="AG6" i="3"/>
  <c r="F6" i="3"/>
  <c r="AA6" i="3" s="1"/>
  <c r="BE5" i="3"/>
  <c r="BD5" i="3"/>
  <c r="BC5" i="3"/>
  <c r="BB5" i="3"/>
  <c r="BA5" i="3"/>
  <c r="AZ5" i="3"/>
  <c r="AY5" i="3"/>
  <c r="AX5" i="3"/>
  <c r="AW5" i="3"/>
  <c r="AV5" i="3"/>
  <c r="AU5" i="3"/>
  <c r="AT5" i="3"/>
  <c r="AS5" i="3"/>
  <c r="AR5" i="3"/>
  <c r="AQ5" i="3"/>
  <c r="AP5" i="3"/>
  <c r="AM5" i="3"/>
  <c r="AL5" i="3"/>
  <c r="AH5" i="3"/>
  <c r="AG5" i="3"/>
  <c r="AF5" i="3"/>
  <c r="AB5" i="3"/>
  <c r="AA5" i="3"/>
  <c r="AE5" i="3" s="1"/>
  <c r="BE4" i="3"/>
  <c r="BD4" i="3"/>
  <c r="BC4" i="3"/>
  <c r="BB4" i="3"/>
  <c r="BA4" i="3"/>
  <c r="AZ4" i="3"/>
  <c r="AY4" i="3"/>
  <c r="AX4" i="3"/>
  <c r="AW4" i="3"/>
  <c r="AV4" i="3"/>
  <c r="AU4" i="3"/>
  <c r="AT4" i="3"/>
  <c r="AS4" i="3"/>
  <c r="AR4" i="3"/>
  <c r="AQ4" i="3"/>
  <c r="AP4" i="3"/>
  <c r="AN4" i="3"/>
  <c r="AM4" i="3"/>
  <c r="AH4" i="3"/>
  <c r="AG4" i="3"/>
  <c r="AF4" i="3"/>
  <c r="AC4" i="3"/>
  <c r="AB4" i="3"/>
  <c r="AA4" i="3"/>
  <c r="AE4" i="3" s="1"/>
  <c r="BE3" i="3"/>
  <c r="BD3" i="3"/>
  <c r="BC3" i="3"/>
  <c r="BB3" i="3"/>
  <c r="BA3" i="3"/>
  <c r="AZ3" i="3"/>
  <c r="AY3" i="3"/>
  <c r="AX3" i="3"/>
  <c r="AW3" i="3"/>
  <c r="AV3" i="3"/>
  <c r="AU3" i="3"/>
  <c r="AT3" i="3"/>
  <c r="AS3" i="3"/>
  <c r="AR3" i="3"/>
  <c r="AQ3" i="3"/>
  <c r="AP3" i="3"/>
  <c r="AO3" i="3"/>
  <c r="AN3" i="3"/>
  <c r="Z3" i="3"/>
  <c r="Z24" i="3" s="1"/>
  <c r="BE24" i="3" s="1"/>
  <c r="Y3" i="3"/>
  <c r="Y24" i="3" s="1"/>
  <c r="BD24" i="3" s="1"/>
  <c r="X3" i="3"/>
  <c r="X24" i="3" s="1"/>
  <c r="BC24" i="3" s="1"/>
  <c r="W3" i="3"/>
  <c r="W24" i="3" s="1"/>
  <c r="BB24" i="3" s="1"/>
  <c r="V3" i="3"/>
  <c r="V24" i="3" s="1"/>
  <c r="BA24" i="3" s="1"/>
  <c r="U3" i="3"/>
  <c r="U24" i="3" s="1"/>
  <c r="AZ24" i="3" s="1"/>
  <c r="T3" i="3"/>
  <c r="T24" i="3" s="1"/>
  <c r="AY24" i="3" s="1"/>
  <c r="S3" i="3"/>
  <c r="S24" i="3" s="1"/>
  <c r="AX24" i="3" s="1"/>
  <c r="R3" i="3"/>
  <c r="R24" i="3" s="1"/>
  <c r="AW24" i="3" s="1"/>
  <c r="Q3" i="3"/>
  <c r="Q24" i="3" s="1"/>
  <c r="AV24" i="3" s="1"/>
  <c r="P3" i="3"/>
  <c r="P24" i="3" s="1"/>
  <c r="AU24" i="3" s="1"/>
  <c r="O3" i="3"/>
  <c r="O24" i="3" s="1"/>
  <c r="AT24" i="3" s="1"/>
  <c r="N3" i="3"/>
  <c r="N24" i="3" s="1"/>
  <c r="AS24" i="3" s="1"/>
  <c r="M3" i="3"/>
  <c r="M24" i="3" s="1"/>
  <c r="AR24" i="3" s="1"/>
  <c r="L3" i="3"/>
  <c r="L24" i="3" s="1"/>
  <c r="AQ24" i="3" s="1"/>
  <c r="K3" i="3"/>
  <c r="K24" i="3" s="1"/>
  <c r="AP24" i="3" s="1"/>
  <c r="J3" i="3"/>
  <c r="J24" i="3" s="1"/>
  <c r="AO24" i="3" s="1"/>
  <c r="AO5" i="3" s="1"/>
  <c r="I3" i="3"/>
  <c r="I24" i="3" s="1"/>
  <c r="AN24" i="3" s="1"/>
  <c r="AN5" i="3" s="1"/>
  <c r="A3" i="3"/>
  <c r="AA2" i="3"/>
  <c r="E2" i="3"/>
  <c r="B15" i="3"/>
  <c r="AE13" i="3" l="1"/>
  <c r="AF13" i="3"/>
  <c r="AB13" i="3"/>
  <c r="AE11" i="3"/>
  <c r="AB11" i="3"/>
  <c r="AF11" i="3"/>
  <c r="AE15" i="3"/>
  <c r="AB15" i="3"/>
  <c r="AF15" i="3"/>
  <c r="AN6" i="3"/>
  <c r="AO4" i="3"/>
  <c r="AO6" i="3"/>
  <c r="AO7" i="3"/>
  <c r="B18" i="3"/>
  <c r="BF5" i="3"/>
  <c r="BF6" i="3"/>
  <c r="C15" i="3" a="1"/>
  <c r="C15" i="3" s="1"/>
  <c r="AC6" i="3"/>
  <c r="AD6" i="3"/>
  <c r="AF6" i="3"/>
  <c r="AB6" i="3"/>
  <c r="AE6" i="3"/>
  <c r="AC14" i="3"/>
  <c r="AF14" i="3"/>
  <c r="AB14" i="3"/>
  <c r="AE14" i="3"/>
  <c r="AD14" i="3"/>
  <c r="AC17" i="3"/>
  <c r="AF17" i="3"/>
  <c r="AB17" i="3"/>
  <c r="AE17" i="3"/>
  <c r="AD17" i="3"/>
  <c r="AC18" i="3"/>
  <c r="AF18" i="3"/>
  <c r="AB18" i="3"/>
  <c r="AD18" i="3"/>
  <c r="AE18" i="3"/>
  <c r="AC10" i="3"/>
  <c r="AD10" i="3"/>
  <c r="AF10" i="3"/>
  <c r="AB10" i="3"/>
  <c r="AE10" i="3"/>
  <c r="AC16" i="3"/>
  <c r="AF16" i="3"/>
  <c r="AB16" i="3"/>
  <c r="AE16" i="3"/>
  <c r="AD16" i="3"/>
  <c r="AC12" i="3"/>
  <c r="AF12" i="3"/>
  <c r="AB12" i="3"/>
  <c r="AE12" i="3"/>
  <c r="AD12" i="3"/>
  <c r="AE7" i="3"/>
  <c r="AE8" i="3"/>
  <c r="AE20" i="3"/>
  <c r="AD4" i="3"/>
  <c r="AC5" i="3"/>
  <c r="AB7" i="3"/>
  <c r="AF7" i="3"/>
  <c r="AL7" i="3"/>
  <c r="BF7" i="3" s="1"/>
  <c r="AB8" i="3"/>
  <c r="AF8" i="3"/>
  <c r="AC9" i="3"/>
  <c r="AC11" i="3"/>
  <c r="AC13" i="3"/>
  <c r="AC15" i="3"/>
  <c r="AB19" i="3"/>
  <c r="AF19" i="3"/>
  <c r="AB20" i="3"/>
  <c r="AF20" i="3"/>
  <c r="AC21" i="3"/>
  <c r="AC22" i="3"/>
  <c r="AD23" i="3"/>
  <c r="AE19" i="3"/>
  <c r="AL4" i="3"/>
  <c r="BF4" i="3" s="1"/>
  <c r="AD5" i="3"/>
  <c r="AC7" i="3"/>
  <c r="AC8" i="3"/>
  <c r="AD9" i="3"/>
  <c r="AD11" i="3"/>
  <c r="AD13" i="3"/>
  <c r="AD15" i="3"/>
  <c r="AC19" i="3"/>
  <c r="AC20" i="3"/>
  <c r="AD21" i="3"/>
  <c r="AD22" i="3"/>
  <c r="AE23" i="3"/>
  <c r="AB23" i="3"/>
  <c r="B11" i="3"/>
  <c r="B14" i="3"/>
  <c r="B10" i="3"/>
  <c r="B16" i="3"/>
  <c r="B13" i="3"/>
  <c r="B12" i="3"/>
  <c r="C12" i="3" l="1" a="1"/>
  <c r="C12" i="3" s="1"/>
  <c r="C10" i="3" a="1"/>
  <c r="C10" i="3" s="1"/>
  <c r="C16" i="3" a="1"/>
  <c r="C16" i="3" s="1"/>
  <c r="C14" i="3" a="1"/>
  <c r="C14" i="3" s="1"/>
  <c r="B22" i="3"/>
  <c r="B20" i="3"/>
  <c r="C11" i="3" a="1"/>
  <c r="C11" i="3" s="1"/>
  <c r="C13" i="3" a="1"/>
  <c r="C13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<sst xmlns="http://schemas.openxmlformats.org/spreadsheetml/2006/main" count="76" uniqueCount="69">
  <si>
    <t>Ayuda</t>
  </si>
  <si>
    <t>R</t>
  </si>
  <si>
    <t>C</t>
  </si>
  <si>
    <t>B</t>
  </si>
  <si>
    <t>M</t>
  </si>
  <si>
    <t>Toma de decisiones</t>
  </si>
  <si>
    <t>Descr</t>
  </si>
  <si>
    <t>MB</t>
  </si>
  <si>
    <t>Matriz de arrepentimientos</t>
  </si>
  <si>
    <t>P(Nj)&gt;</t>
  </si>
  <si>
    <t>N1</t>
  </si>
  <si>
    <t>N2</t>
  </si>
  <si>
    <t>Acción</t>
  </si>
  <si>
    <t>Wald</t>
  </si>
  <si>
    <t>optimista</t>
  </si>
  <si>
    <t>Hurwicz</t>
  </si>
  <si>
    <t>Minimax</t>
  </si>
  <si>
    <t>E(B)</t>
  </si>
  <si>
    <t>Equi-P()</t>
  </si>
  <si>
    <t>Ingrese la cantidad…</t>
  </si>
  <si>
    <t>G</t>
  </si>
  <si>
    <t xml:space="preserve">a1: </t>
  </si>
  <si>
    <t>a1</t>
  </si>
  <si>
    <t xml:space="preserve">... de estados de la natura </t>
  </si>
  <si>
    <t>(máximo 20)</t>
  </si>
  <si>
    <t xml:space="preserve">a2: </t>
  </si>
  <si>
    <t>a2</t>
  </si>
  <si>
    <t xml:space="preserve">... de alternativas de decisión </t>
  </si>
  <si>
    <t>Coeficiente de Hürwicz</t>
  </si>
  <si>
    <t>Nada</t>
  </si>
  <si>
    <t>Resultados:</t>
  </si>
  <si>
    <t xml:space="preserve">Maximin, pesimista, Wald </t>
  </si>
  <si>
    <t xml:space="preserve">Maximax, optimista </t>
  </si>
  <si>
    <t xml:space="preserve">Hürwiczs </t>
  </si>
  <si>
    <t xml:space="preserve">Minimax </t>
  </si>
  <si>
    <t xml:space="preserve">Esperanza matemática </t>
  </si>
  <si>
    <t xml:space="preserve">Expectativa igual </t>
  </si>
  <si>
    <t xml:space="preserve">Arrepentimiento </t>
  </si>
  <si>
    <t xml:space="preserve">Beneficio esperado con </t>
  </si>
  <si>
    <t>… información perfecta (BEIP)</t>
  </si>
  <si>
    <t>Valor esperado con</t>
  </si>
  <si>
    <t>... información perfecta (VEIP)</t>
  </si>
  <si>
    <t xml:space="preserve">Valor esperado </t>
  </si>
  <si>
    <t>… sin información (E(B))</t>
  </si>
  <si>
    <t>Maxj (bi) &gt;&gt;&gt;</t>
  </si>
  <si>
    <t>optimiza.org</t>
  </si>
  <si>
    <t>Vector_J</t>
  </si>
  <si>
    <t>TOMA DE DECISONES</t>
  </si>
  <si>
    <t>1. Las celdas amarillas se destinan al ingreso de datos</t>
  </si>
  <si>
    <t xml:space="preserve">    cada una de ellas</t>
  </si>
  <si>
    <t>5. Se habilitará en color amarillo el espacio destinado a la matriz de beneficios</t>
  </si>
  <si>
    <t xml:space="preserve">6. En las celdas señaladas de la matriz de beneficio deben ingresarse manualmente los valores corresondientes a </t>
  </si>
  <si>
    <r>
      <t xml:space="preserve">8. Al pusar </t>
    </r>
    <r>
      <rPr>
        <b/>
        <sz val="11"/>
        <color theme="1"/>
        <rFont val="Calibri"/>
        <family val="2"/>
        <scheme val="minor"/>
      </rPr>
      <t>"Ver vector J = n"</t>
    </r>
    <r>
      <rPr>
        <sz val="11"/>
        <color theme="1"/>
        <rFont val="Calibri"/>
        <family val="2"/>
        <scheme val="minor"/>
      </rPr>
      <t xml:space="preserve"> (donde n es el número de estados de la natura + 1) se accederá a una tabla donde</t>
    </r>
  </si>
  <si>
    <t xml:space="preserve">2. Al colocar el número de estados de la natura, (ejemplo "4" en la figura), se habilitarán igual número de columnas </t>
  </si>
  <si>
    <r>
      <t xml:space="preserve">7. En el marginal inferior aparecerá, para cada columna el valor que corresponde al </t>
    </r>
    <r>
      <rPr>
        <b/>
        <i/>
        <sz val="11"/>
        <color theme="1"/>
        <rFont val="Calibri"/>
        <family val="2"/>
        <scheme val="minor"/>
      </rPr>
      <t xml:space="preserve">bij </t>
    </r>
    <r>
      <rPr>
        <sz val="11"/>
        <color theme="1"/>
        <rFont val="Calibri"/>
        <family val="2"/>
        <scheme val="minor"/>
      </rPr>
      <t>máximo de esa columna</t>
    </r>
  </si>
  <si>
    <r>
      <t xml:space="preserve">    etiquetadas desde </t>
    </r>
    <r>
      <rPr>
        <b/>
        <i/>
        <sz val="11"/>
        <color theme="1"/>
        <rFont val="Calibri"/>
        <family val="2"/>
        <scheme val="minor"/>
      </rPr>
      <t>N1</t>
    </r>
    <r>
      <rPr>
        <sz val="11"/>
        <color theme="1"/>
        <rFont val="Calibri"/>
        <family val="2"/>
        <scheme val="minor"/>
      </rPr>
      <t xml:space="preserve"> hasta el número de estados de la natura (</t>
    </r>
    <r>
      <rPr>
        <b/>
        <i/>
        <sz val="11"/>
        <color theme="1"/>
        <rFont val="Calibri"/>
        <family val="2"/>
        <scheme val="minor"/>
      </rPr>
      <t>N4</t>
    </r>
    <r>
      <rPr>
        <sz val="11"/>
        <color theme="1"/>
        <rFont val="Calibri"/>
        <family val="2"/>
        <scheme val="minor"/>
      </rPr>
      <t xml:space="preserve"> en la figura)</t>
    </r>
  </si>
  <si>
    <r>
      <t xml:space="preserve">3. Lo mismo se logra al indicar el número de alternativas de decisión, en este caso las etiquetas van desde </t>
    </r>
    <r>
      <rPr>
        <b/>
        <i/>
        <sz val="11"/>
        <color theme="1"/>
        <rFont val="Calibri"/>
        <family val="2"/>
        <scheme val="minor"/>
      </rPr>
      <t>e1</t>
    </r>
  </si>
  <si>
    <r>
      <t xml:space="preserve">    hasta el valor que corresponda (</t>
    </r>
    <r>
      <rPr>
        <b/>
        <i/>
        <sz val="11"/>
        <color theme="1"/>
        <rFont val="Calibri"/>
        <family val="2"/>
        <scheme val="minor"/>
      </rPr>
      <t>e4</t>
    </r>
    <r>
      <rPr>
        <sz val="11"/>
        <color theme="1"/>
        <rFont val="Calibri"/>
        <family val="2"/>
        <scheme val="minor"/>
      </rPr>
      <t xml:space="preserve"> en la figura)</t>
    </r>
  </si>
  <si>
    <r>
      <t xml:space="preserve">4. Se habilitarán celdas a la izquierda de la columna de las acciones </t>
    </r>
    <r>
      <rPr>
        <b/>
        <i/>
        <sz val="11"/>
        <color theme="1"/>
        <rFont val="Calibri"/>
        <family val="2"/>
        <scheme val="minor"/>
      </rPr>
      <t>ai</t>
    </r>
    <r>
      <rPr>
        <sz val="11"/>
        <color theme="1"/>
        <rFont val="Calibri"/>
        <family val="2"/>
        <scheme val="minor"/>
      </rPr>
      <t xml:space="preserve"> y encima de la fila de los</t>
    </r>
    <r>
      <rPr>
        <b/>
        <i/>
        <sz val="11"/>
        <color theme="1"/>
        <rFont val="Calibri"/>
        <family val="2"/>
        <scheme val="minor"/>
      </rPr>
      <t xml:space="preserve"> estados Nj</t>
    </r>
    <r>
      <rPr>
        <sz val="11"/>
        <color theme="1"/>
        <rFont val="Calibri"/>
        <family val="2"/>
        <scheme val="minor"/>
      </rPr>
      <t xml:space="preserve"> para que</t>
    </r>
  </si>
  <si>
    <r>
      <t xml:space="preserve">    se puedan poner los nombres de cada acción o estado. Esta operación es </t>
    </r>
    <r>
      <rPr>
        <b/>
        <sz val="11"/>
        <color theme="1"/>
        <rFont val="Calibri"/>
        <family val="2"/>
        <scheme val="minor"/>
      </rPr>
      <t>OPCIONAL</t>
    </r>
    <r>
      <rPr>
        <sz val="11"/>
        <color theme="1"/>
        <rFont val="Calibri"/>
        <family val="2"/>
        <scheme val="minor"/>
      </rPr>
      <t>.</t>
    </r>
  </si>
  <si>
    <r>
      <t xml:space="preserve">       se muestran juntas </t>
    </r>
    <r>
      <rPr>
        <b/>
        <sz val="11"/>
        <color theme="1"/>
        <rFont val="Calibri"/>
        <family val="2"/>
        <scheme val="minor"/>
      </rPr>
      <t>todas</t>
    </r>
    <r>
      <rPr>
        <sz val="11"/>
        <color theme="1"/>
        <rFont val="Calibri"/>
        <family val="2"/>
        <scheme val="minor"/>
      </rPr>
      <t xml:space="preserve"> las columna marginales derechas para cada uno de los modelos disponibles, a manera</t>
    </r>
  </si>
  <si>
    <r>
      <t xml:space="preserve">       de resumen. (en las figuras el ejemplo es de 4 estados de la natura, por tanto la columna mostrada es </t>
    </r>
    <r>
      <rPr>
        <b/>
        <sz val="11"/>
        <color theme="1"/>
        <rFont val="Calibri"/>
        <family val="2"/>
        <scheme val="minor"/>
      </rPr>
      <t>J = 5</t>
    </r>
    <r>
      <rPr>
        <sz val="11"/>
        <color theme="1"/>
        <rFont val="Calibri"/>
        <family val="2"/>
        <scheme val="minor"/>
      </rPr>
      <t>)</t>
    </r>
  </si>
  <si>
    <t xml:space="preserve">       La columna marginal derecha se muestra en el extremo derecho del espacio destinado a la matriz, así como </t>
  </si>
  <si>
    <t xml:space="preserve">       debajo de ese espacio se ve el marginal inferior.</t>
  </si>
  <si>
    <t>Hoja protegida SIN contraseña</t>
  </si>
  <si>
    <t>decisión:</t>
  </si>
  <si>
    <r>
      <t>Lo mismo se logra al pulsar "</t>
    </r>
    <r>
      <rPr>
        <b/>
        <sz val="11"/>
        <color theme="1"/>
        <rFont val="Calibri"/>
        <family val="2"/>
        <scheme val="minor"/>
      </rPr>
      <t xml:space="preserve">Ver MATRIZ DE ARREP. y VECTOR J (n)" </t>
    </r>
    <r>
      <rPr>
        <sz val="11"/>
        <color theme="1"/>
        <rFont val="Calibri"/>
        <family val="2"/>
        <scheme val="minor"/>
      </rPr>
      <t xml:space="preserve">pero se agrega dicha matriz. </t>
    </r>
  </si>
  <si>
    <t>V. 20.1.1</t>
  </si>
  <si>
    <t>Version 20.1.1 3/2026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</si>
</sst>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1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u/>
      <sz val="11"/>
      <color rgb="FFFF0000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color rgb="FFFF0000"/>
      <name val="Calibri"/>
      <family val="2"/>
      <scheme val="minor"/>
    </font>
    <font>
      <b/>
      <u/>
      <sz val="10"/>
      <color rgb="FFFF0000"/>
      <name val="Calibri"/>
      <family val="2"/>
      <scheme val="minor"/>
    </font>
    <font>
      <b/>
      <sz val="8"/>
      <color rgb="FFFFFF00"/>
      <name val="Calibri"/>
      <family val="2"/>
      <scheme val="minor"/>
    </font>
    <font>
      <sz val="11"/>
      <color rgb="FFFFFF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u/>
      <sz val="11"/>
      <color rgb="FFFFFF00"/>
      <name val="Calibri"/>
      <family val="2"/>
      <scheme val="minor"/>
    </font>
    <font>
      <b/>
      <sz val="12"/>
      <color rgb="FFFFFF00"/>
      <name val="Aptos Display"/>
      <family val="2"/>
    </font>
    <font>
      <b/>
      <sz val="11"/>
      <color theme="0"/>
      <name val="Aptos Display"/>
      <family val="2"/>
    </font>
  </fonts>
  <fills count="17">
    <fill>
      <patternFill patternType="none"/>
    </fill>
    <fill>
      <patternFill patternType="gray125"/>
    </fill>
    <fill>
      <patternFill patternType="solid">
        <fgColor rgb="FF333333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1" tint="0.34998626667073579"/>
        <bgColor indexed="64"/>
      </patternFill>
    </fill>
  </fills>
  <borders count="4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/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/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indexed="64"/>
      </right>
      <top style="thin">
        <color indexed="64"/>
      </top>
      <bottom/>
      <diagonal/>
    </border>
    <border>
      <left style="thin">
        <color theme="0" tint="-0.499984740745262"/>
      </left>
      <right style="thin">
        <color indexed="64"/>
      </right>
      <top/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indexed="64"/>
      </right>
      <top/>
      <bottom/>
      <diagonal/>
    </border>
    <border>
      <left style="thin">
        <color theme="0" tint="-0.34998626667073579"/>
      </left>
      <right/>
      <top/>
      <bottom style="medium">
        <color indexed="64"/>
      </bottom>
      <diagonal/>
    </border>
    <border>
      <left style="thin">
        <color theme="0" tint="-0.249977111117893"/>
      </left>
      <right/>
      <top/>
      <bottom/>
      <diagonal/>
    </border>
    <border>
      <left style="thin">
        <color indexed="64"/>
      </left>
      <right/>
      <top style="thin">
        <color theme="0" tint="-0.249977111117893"/>
      </top>
      <bottom/>
      <diagonal/>
    </border>
    <border>
      <left style="thin">
        <color theme="0" tint="-0.249977111117893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theme="0" tint="-0.249977111117893"/>
      </top>
      <bottom style="thin">
        <color theme="0" tint="-0.249977111117893"/>
      </bottom>
      <diagonal/>
    </border>
    <border>
      <left style="thin">
        <color indexed="64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34998626667073579"/>
      </top>
      <bottom/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/>
      <top style="medium">
        <color indexed="64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medium">
        <color indexed="64"/>
      </top>
      <bottom style="thin">
        <color theme="0" tint="-0.249977111117893"/>
      </bottom>
      <diagonal/>
    </border>
    <border>
      <left/>
      <right/>
      <top style="thin">
        <color theme="0" tint="-0.249977111117893"/>
      </top>
      <bottom/>
      <diagonal/>
    </border>
    <border>
      <left style="thin">
        <color theme="0" tint="-0.249977111117893"/>
      </left>
      <right/>
      <top style="thin">
        <color theme="0" tint="-0.249977111117893"/>
      </top>
      <bottom/>
      <diagonal/>
    </border>
    <border>
      <left style="medium">
        <color theme="0" tint="-0.249977111117893"/>
      </left>
      <right style="medium">
        <color theme="0" tint="-0.249977111117893"/>
      </right>
      <top style="medium">
        <color theme="0" tint="-0.249977111117893"/>
      </top>
      <bottom style="medium">
        <color theme="0" tint="-0.249977111117893"/>
      </bottom>
      <diagonal/>
    </border>
    <border>
      <left style="medium">
        <color theme="1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08">
    <xf numFmtId="0" fontId="0" fillId="0" borderId="0" xfId="0"/>
    <xf numFmtId="0" fontId="0" fillId="0" borderId="0" xfId="0" applyAlignment="1">
      <alignment horizontal="center"/>
    </xf>
    <xf numFmtId="0" fontId="3" fillId="0" borderId="0" xfId="0" applyFont="1"/>
    <xf numFmtId="0" fontId="3" fillId="4" borderId="0" xfId="0" applyFont="1" applyFill="1"/>
    <xf numFmtId="0" fontId="4" fillId="8" borderId="0" xfId="0" applyFont="1" applyFill="1"/>
    <xf numFmtId="0" fontId="5" fillId="12" borderId="0" xfId="0" applyFont="1" applyFill="1"/>
    <xf numFmtId="0" fontId="5" fillId="0" borderId="12" xfId="0" applyFont="1" applyBorder="1" applyAlignment="1" applyProtection="1">
      <alignment horizontal="center"/>
      <protection locked="0"/>
    </xf>
    <xf numFmtId="164" fontId="5" fillId="11" borderId="0" xfId="0" applyNumberFormat="1" applyFont="1" applyFill="1"/>
    <xf numFmtId="164" fontId="5" fillId="13" borderId="4" xfId="0" applyNumberFormat="1" applyFont="1" applyFill="1" applyBorder="1"/>
    <xf numFmtId="164" fontId="8" fillId="12" borderId="14" xfId="0" applyNumberFormat="1" applyFont="1" applyFill="1" applyBorder="1"/>
    <xf numFmtId="164" fontId="5" fillId="0" borderId="15" xfId="0" applyNumberFormat="1" applyFont="1" applyBorder="1" applyProtection="1">
      <protection locked="0"/>
    </xf>
    <xf numFmtId="164" fontId="5" fillId="0" borderId="16" xfId="0" applyNumberFormat="1" applyFont="1" applyBorder="1" applyProtection="1">
      <protection locked="0"/>
    </xf>
    <xf numFmtId="164" fontId="5" fillId="0" borderId="12" xfId="0" applyNumberFormat="1" applyFont="1" applyBorder="1" applyProtection="1">
      <protection locked="0"/>
    </xf>
    <xf numFmtId="164" fontId="5" fillId="0" borderId="17" xfId="0" applyNumberFormat="1" applyFont="1" applyBorder="1" applyProtection="1">
      <protection locked="0"/>
    </xf>
    <xf numFmtId="164" fontId="5" fillId="0" borderId="0" xfId="0" applyNumberFormat="1" applyFont="1"/>
    <xf numFmtId="164" fontId="5" fillId="0" borderId="14" xfId="0" applyNumberFormat="1" applyFont="1" applyBorder="1"/>
    <xf numFmtId="164" fontId="5" fillId="0" borderId="15" xfId="0" applyNumberFormat="1" applyFont="1" applyBorder="1"/>
    <xf numFmtId="164" fontId="5" fillId="0" borderId="16" xfId="0" applyNumberFormat="1" applyFont="1" applyBorder="1"/>
    <xf numFmtId="164" fontId="5" fillId="0" borderId="12" xfId="0" applyNumberFormat="1" applyFont="1" applyBorder="1"/>
    <xf numFmtId="164" fontId="5" fillId="0" borderId="17" xfId="0" applyNumberFormat="1" applyFont="1" applyBorder="1"/>
    <xf numFmtId="0" fontId="9" fillId="13" borderId="0" xfId="0" applyFont="1" applyFill="1"/>
    <xf numFmtId="0" fontId="5" fillId="13" borderId="0" xfId="0" applyFont="1" applyFill="1"/>
    <xf numFmtId="0" fontId="5" fillId="11" borderId="19" xfId="0" applyFont="1" applyFill="1" applyBorder="1"/>
    <xf numFmtId="0" fontId="8" fillId="0" borderId="17" xfId="0" applyFont="1" applyBorder="1" applyAlignment="1">
      <alignment horizontal="center"/>
    </xf>
    <xf numFmtId="0" fontId="8" fillId="0" borderId="12" xfId="0" applyFont="1" applyBorder="1" applyAlignment="1">
      <alignment horizontal="center"/>
    </xf>
    <xf numFmtId="0" fontId="8" fillId="0" borderId="19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5" fillId="0" borderId="19" xfId="0" applyFont="1" applyBorder="1"/>
    <xf numFmtId="0" fontId="3" fillId="0" borderId="17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19" xfId="0" applyFont="1" applyBorder="1" applyAlignment="1">
      <alignment horizontal="center"/>
    </xf>
    <xf numFmtId="0" fontId="5" fillId="8" borderId="0" xfId="0" applyFont="1" applyFill="1"/>
    <xf numFmtId="0" fontId="5" fillId="0" borderId="17" xfId="0" applyFont="1" applyBorder="1" applyAlignment="1">
      <alignment horizontal="center"/>
    </xf>
    <xf numFmtId="2" fontId="5" fillId="0" borderId="0" xfId="0" applyNumberFormat="1" applyFont="1" applyProtection="1">
      <protection locked="0"/>
    </xf>
    <xf numFmtId="0" fontId="3" fillId="0" borderId="20" xfId="0" applyFont="1" applyBorder="1" applyAlignment="1">
      <alignment horizontal="center"/>
    </xf>
    <xf numFmtId="2" fontId="5" fillId="4" borderId="20" xfId="0" applyNumberFormat="1" applyFont="1" applyFill="1" applyBorder="1"/>
    <xf numFmtId="2" fontId="5" fillId="8" borderId="20" xfId="0" applyNumberFormat="1" applyFont="1" applyFill="1" applyBorder="1"/>
    <xf numFmtId="0" fontId="5" fillId="4" borderId="20" xfId="0" applyFont="1" applyFill="1" applyBorder="1"/>
    <xf numFmtId="0" fontId="3" fillId="4" borderId="0" xfId="0" applyFont="1" applyFill="1" applyAlignment="1">
      <alignment horizontal="center"/>
    </xf>
    <xf numFmtId="0" fontId="5" fillId="0" borderId="12" xfId="0" applyFont="1" applyBorder="1" applyAlignment="1">
      <alignment horizontal="center"/>
    </xf>
    <xf numFmtId="2" fontId="5" fillId="0" borderId="0" xfId="0" applyNumberFormat="1" applyFont="1"/>
    <xf numFmtId="0" fontId="5" fillId="4" borderId="0" xfId="0" applyFont="1" applyFill="1"/>
    <xf numFmtId="1" fontId="3" fillId="7" borderId="4" xfId="0" applyNumberFormat="1" applyFont="1" applyFill="1" applyBorder="1" applyAlignment="1" applyProtection="1">
      <alignment horizontal="center"/>
      <protection locked="0"/>
    </xf>
    <xf numFmtId="164" fontId="5" fillId="4" borderId="0" xfId="0" applyNumberFormat="1" applyFont="1" applyFill="1"/>
    <xf numFmtId="0" fontId="5" fillId="0" borderId="0" xfId="0" applyFont="1"/>
    <xf numFmtId="164" fontId="5" fillId="7" borderId="4" xfId="0" applyNumberFormat="1" applyFont="1" applyFill="1" applyBorder="1" applyProtection="1">
      <protection locked="0"/>
    </xf>
    <xf numFmtId="0" fontId="9" fillId="4" borderId="0" xfId="0" applyFont="1" applyFill="1"/>
    <xf numFmtId="0" fontId="5" fillId="0" borderId="19" xfId="0" applyFont="1" applyBorder="1" applyAlignment="1">
      <alignment horizontal="center"/>
    </xf>
    <xf numFmtId="0" fontId="1" fillId="8" borderId="0" xfId="0" applyFont="1" applyFill="1"/>
    <xf numFmtId="164" fontId="5" fillId="8" borderId="0" xfId="0" applyNumberFormat="1" applyFont="1" applyFill="1"/>
    <xf numFmtId="164" fontId="5" fillId="0" borderId="4" xfId="0" applyNumberFormat="1" applyFont="1" applyBorder="1"/>
    <xf numFmtId="164" fontId="5" fillId="0" borderId="4" xfId="0" applyNumberFormat="1" applyFont="1" applyBorder="1" applyAlignment="1">
      <alignment horizontal="center"/>
    </xf>
    <xf numFmtId="0" fontId="5" fillId="8" borderId="6" xfId="0" applyFont="1" applyFill="1" applyBorder="1"/>
    <xf numFmtId="0" fontId="5" fillId="0" borderId="23" xfId="0" applyFont="1" applyBorder="1" applyAlignment="1" applyProtection="1">
      <alignment horizontal="center"/>
      <protection locked="0"/>
    </xf>
    <xf numFmtId="0" fontId="8" fillId="8" borderId="0" xfId="0" applyFont="1" applyFill="1"/>
    <xf numFmtId="2" fontId="5" fillId="0" borderId="24" xfId="0" applyNumberFormat="1" applyFont="1" applyBorder="1"/>
    <xf numFmtId="0" fontId="0" fillId="0" borderId="8" xfId="0" applyBorder="1"/>
    <xf numFmtId="0" fontId="5" fillId="0" borderId="8" xfId="0" applyFont="1" applyBorder="1"/>
    <xf numFmtId="164" fontId="5" fillId="0" borderId="7" xfId="0" applyNumberFormat="1" applyFont="1" applyBorder="1"/>
    <xf numFmtId="164" fontId="5" fillId="0" borderId="7" xfId="0" applyNumberFormat="1" applyFont="1" applyBorder="1" applyAlignment="1">
      <alignment horizontal="center"/>
    </xf>
    <xf numFmtId="164" fontId="5" fillId="0" borderId="0" xfId="0" applyNumberFormat="1" applyFont="1" applyAlignment="1">
      <alignment horizontal="center"/>
    </xf>
    <xf numFmtId="2" fontId="5" fillId="0" borderId="26" xfId="0" applyNumberFormat="1" applyFont="1" applyBorder="1"/>
    <xf numFmtId="2" fontId="5" fillId="0" borderId="11" xfId="0" applyNumberFormat="1" applyFont="1" applyBorder="1"/>
    <xf numFmtId="2" fontId="3" fillId="0" borderId="28" xfId="0" applyNumberFormat="1" applyFont="1" applyBorder="1" applyAlignment="1">
      <alignment horizontal="center"/>
    </xf>
    <xf numFmtId="0" fontId="5" fillId="0" borderId="27" xfId="0" applyFont="1" applyBorder="1"/>
    <xf numFmtId="2" fontId="3" fillId="0" borderId="29" xfId="0" applyNumberFormat="1" applyFont="1" applyBorder="1" applyAlignment="1">
      <alignment horizontal="center"/>
    </xf>
    <xf numFmtId="0" fontId="3" fillId="0" borderId="27" xfId="0" applyFont="1" applyBorder="1"/>
    <xf numFmtId="0" fontId="0" fillId="0" borderId="27" xfId="0" applyBorder="1"/>
    <xf numFmtId="2" fontId="3" fillId="0" borderId="30" xfId="0" applyNumberFormat="1" applyFont="1" applyBorder="1" applyAlignment="1">
      <alignment horizontal="center"/>
    </xf>
    <xf numFmtId="2" fontId="3" fillId="0" borderId="31" xfId="0" applyNumberFormat="1" applyFont="1" applyBorder="1" applyAlignment="1">
      <alignment horizontal="center"/>
    </xf>
    <xf numFmtId="2" fontId="3" fillId="0" borderId="6" xfId="0" applyNumberFormat="1" applyFont="1" applyBorder="1" applyAlignment="1">
      <alignment horizontal="center"/>
    </xf>
    <xf numFmtId="2" fontId="3" fillId="0" borderId="33" xfId="0" applyNumberFormat="1" applyFont="1" applyBorder="1" applyAlignment="1">
      <alignment horizontal="center"/>
    </xf>
    <xf numFmtId="0" fontId="0" fillId="0" borderId="32" xfId="0" applyBorder="1"/>
    <xf numFmtId="2" fontId="3" fillId="0" borderId="34" xfId="0" applyNumberFormat="1" applyFont="1" applyBorder="1" applyAlignment="1">
      <alignment horizontal="center"/>
    </xf>
    <xf numFmtId="2" fontId="3" fillId="0" borderId="35" xfId="0" applyNumberFormat="1" applyFont="1" applyBorder="1" applyAlignment="1">
      <alignment horizontal="center"/>
    </xf>
    <xf numFmtId="0" fontId="0" fillId="0" borderId="36" xfId="0" applyBorder="1"/>
    <xf numFmtId="0" fontId="0" fillId="0" borderId="37" xfId="0" applyBorder="1" applyAlignment="1">
      <alignment horizontal="center"/>
    </xf>
    <xf numFmtId="0" fontId="12" fillId="2" borderId="0" xfId="0" applyFont="1" applyFill="1" applyAlignment="1">
      <alignment horizontal="center"/>
    </xf>
    <xf numFmtId="0" fontId="7" fillId="6" borderId="38" xfId="1" applyFont="1" applyFill="1" applyBorder="1" applyAlignment="1">
      <alignment horizontal="center"/>
    </xf>
    <xf numFmtId="0" fontId="0" fillId="15" borderId="0" xfId="0" applyFill="1"/>
    <xf numFmtId="0" fontId="5" fillId="15" borderId="0" xfId="0" applyFont="1" applyFill="1"/>
    <xf numFmtId="0" fontId="7" fillId="5" borderId="38" xfId="1" applyFont="1" applyFill="1" applyBorder="1" applyAlignment="1">
      <alignment horizontal="center"/>
    </xf>
    <xf numFmtId="0" fontId="0" fillId="16" borderId="0" xfId="0" applyFill="1"/>
    <xf numFmtId="0" fontId="14" fillId="16" borderId="0" xfId="0" applyFont="1" applyFill="1" applyAlignment="1">
      <alignment horizontal="center"/>
    </xf>
    <xf numFmtId="0" fontId="12" fillId="2" borderId="13" xfId="0" applyFont="1" applyFill="1" applyBorder="1" applyAlignment="1">
      <alignment horizontal="center"/>
    </xf>
    <xf numFmtId="164" fontId="11" fillId="2" borderId="18" xfId="0" applyNumberFormat="1" applyFont="1" applyFill="1" applyBorder="1" applyAlignment="1">
      <alignment horizontal="center"/>
    </xf>
    <xf numFmtId="164" fontId="11" fillId="2" borderId="0" xfId="0" applyNumberFormat="1" applyFont="1" applyFill="1" applyAlignment="1">
      <alignment horizontal="center"/>
    </xf>
    <xf numFmtId="0" fontId="13" fillId="14" borderId="1" xfId="1" applyFont="1" applyFill="1" applyBorder="1" applyAlignment="1">
      <alignment horizontal="center"/>
    </xf>
    <xf numFmtId="0" fontId="6" fillId="14" borderId="3" xfId="1" applyFont="1" applyFill="1" applyBorder="1" applyAlignment="1">
      <alignment horizontal="center"/>
    </xf>
    <xf numFmtId="164" fontId="5" fillId="0" borderId="25" xfId="0" applyNumberFormat="1" applyFont="1" applyBorder="1" applyAlignment="1">
      <alignment horizontal="center" vertical="center"/>
    </xf>
    <xf numFmtId="164" fontId="5" fillId="0" borderId="22" xfId="0" applyNumberFormat="1" applyFont="1" applyBorder="1" applyAlignment="1">
      <alignment horizontal="center" vertical="center"/>
    </xf>
    <xf numFmtId="164" fontId="5" fillId="0" borderId="21" xfId="0" applyNumberFormat="1" applyFont="1" applyBorder="1" applyAlignment="1">
      <alignment horizontal="center" vertical="center"/>
    </xf>
    <xf numFmtId="0" fontId="10" fillId="14" borderId="1" xfId="1" applyFont="1" applyFill="1" applyBorder="1" applyAlignment="1">
      <alignment horizontal="center"/>
    </xf>
    <xf numFmtId="0" fontId="10" fillId="14" borderId="2" xfId="1" applyFont="1" applyFill="1" applyBorder="1" applyAlignment="1">
      <alignment horizontal="center"/>
    </xf>
    <xf numFmtId="0" fontId="10" fillId="14" borderId="3" xfId="1" applyFont="1" applyFill="1" applyBorder="1" applyAlignment="1">
      <alignment horizontal="center"/>
    </xf>
    <xf numFmtId="0" fontId="6" fillId="14" borderId="2" xfId="1" applyFont="1" applyFill="1" applyBorder="1" applyAlignment="1">
      <alignment horizontal="center"/>
    </xf>
    <xf numFmtId="0" fontId="3" fillId="8" borderId="6" xfId="0" applyFont="1" applyFill="1" applyBorder="1"/>
    <xf numFmtId="0" fontId="3" fillId="8" borderId="9" xfId="0" applyFont="1" applyFill="1" applyBorder="1"/>
    <xf numFmtId="0" fontId="3" fillId="4" borderId="10" xfId="0" applyFont="1" applyFill="1" applyBorder="1"/>
    <xf numFmtId="0" fontId="3" fillId="4" borderId="9" xfId="0" applyFont="1" applyFill="1" applyBorder="1"/>
    <xf numFmtId="0" fontId="3" fillId="8" borderId="10" xfId="0" applyFont="1" applyFill="1" applyBorder="1"/>
    <xf numFmtId="164" fontId="16" fillId="9" borderId="0" xfId="1" applyNumberFormat="1" applyFont="1" applyFill="1" applyAlignment="1">
      <alignment horizontal="center"/>
    </xf>
    <xf numFmtId="164" fontId="5" fillId="0" borderId="40" xfId="0" applyNumberFormat="1" applyFont="1" applyBorder="1" applyAlignment="1">
      <alignment horizontal="center"/>
    </xf>
    <xf numFmtId="164" fontId="8" fillId="13" borderId="39" xfId="0" applyNumberFormat="1" applyFont="1" applyFill="1" applyBorder="1" applyAlignment="1">
      <alignment horizontal="right"/>
    </xf>
    <xf numFmtId="0" fontId="6" fillId="15" borderId="5" xfId="1" applyFont="1" applyFill="1" applyBorder="1" applyAlignment="1">
      <alignment horizontal="center"/>
    </xf>
    <xf numFmtId="0" fontId="17" fillId="10" borderId="0" xfId="0" applyFont="1" applyFill="1" applyAlignment="1">
      <alignment horizontal="center"/>
    </xf>
    <xf numFmtId="0" fontId="18" fillId="3" borderId="6" xfId="0" applyFont="1" applyFill="1" applyBorder="1" applyAlignment="1">
      <alignment horizontal="center"/>
    </xf>
    <xf numFmtId="0" fontId="18" fillId="3" borderId="0" xfId="0" applyFont="1" applyFill="1" applyAlignment="1">
      <alignment horizontal="center"/>
    </xf>
  </cellXfs>
  <cellStyles count="2">
    <cellStyle name="Hipervínculo" xfId="1" builtinId="8"/>
    <cellStyle name="Normal" xfId="0" builtinId="0"/>
  </cellStyles>
  <dxfs count="19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333333"/>
      <color rgb="FF969696"/>
      <color rgb="FFC0C0C0"/>
      <color rgb="FFDDDDDD"/>
      <color rgb="FFB2B2B2"/>
      <color rgb="FF808080"/>
      <color rgb="FF5F5F5F"/>
      <color rgb="FF1C1C1C"/>
      <color rgb="FF66FF33"/>
      <color rgb="FF99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152400</xdr:colOff>
      <xdr:row>104</xdr:row>
      <xdr:rowOff>66675</xdr:rowOff>
    </xdr:from>
    <xdr:to>
      <xdr:col>12</xdr:col>
      <xdr:colOff>448159</xdr:colOff>
      <xdr:row>109</xdr:row>
      <xdr:rowOff>28705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371850" y="19916775"/>
          <a:ext cx="3467584" cy="933580"/>
        </a:xfrm>
        <a:prstGeom prst="rect">
          <a:avLst/>
        </a:prstGeom>
      </xdr:spPr>
    </xdr:pic>
    <xdr:clientData/>
  </xdr:twoCellAnchor>
  <xdr:twoCellAnchor editAs="oneCell">
    <xdr:from>
      <xdr:col>1</xdr:col>
      <xdr:colOff>723900</xdr:colOff>
      <xdr:row>113</xdr:row>
      <xdr:rowOff>28575</xdr:rowOff>
    </xdr:from>
    <xdr:to>
      <xdr:col>6</xdr:col>
      <xdr:colOff>114506</xdr:colOff>
      <xdr:row>115</xdr:row>
      <xdr:rowOff>152470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23900" y="21536025"/>
          <a:ext cx="1476581" cy="504895"/>
        </a:xfrm>
        <a:prstGeom prst="rect">
          <a:avLst/>
        </a:prstGeom>
      </xdr:spPr>
    </xdr:pic>
    <xdr:clientData/>
  </xdr:twoCellAnchor>
  <xdr:twoCellAnchor editAs="oneCell">
    <xdr:from>
      <xdr:col>3</xdr:col>
      <xdr:colOff>152400</xdr:colOff>
      <xdr:row>112</xdr:row>
      <xdr:rowOff>47625</xdr:rowOff>
    </xdr:from>
    <xdr:to>
      <xdr:col>14</xdr:col>
      <xdr:colOff>67317</xdr:colOff>
      <xdr:row>121</xdr:row>
      <xdr:rowOff>233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2324100" y="21364575"/>
          <a:ext cx="4601217" cy="1667108"/>
        </a:xfrm>
        <a:prstGeom prst="rect">
          <a:avLst/>
        </a:prstGeom>
      </xdr:spPr>
    </xdr:pic>
    <xdr:clientData/>
  </xdr:twoCellAnchor>
  <xdr:twoCellAnchor editAs="oneCell">
    <xdr:from>
      <xdr:col>8</xdr:col>
      <xdr:colOff>104775</xdr:colOff>
      <xdr:row>124</xdr:row>
      <xdr:rowOff>76200</xdr:rowOff>
    </xdr:from>
    <xdr:to>
      <xdr:col>14</xdr:col>
      <xdr:colOff>162332</xdr:colOff>
      <xdr:row>127</xdr:row>
      <xdr:rowOff>181072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4591050" y="23755350"/>
          <a:ext cx="2915057" cy="695422"/>
        </a:xfrm>
        <a:prstGeom prst="rect">
          <a:avLst/>
        </a:prstGeom>
      </xdr:spPr>
    </xdr:pic>
    <xdr:clientData/>
  </xdr:twoCellAnchor>
  <xdr:twoCellAnchor editAs="oneCell">
    <xdr:from>
      <xdr:col>1</xdr:col>
      <xdr:colOff>361950</xdr:colOff>
      <xdr:row>128</xdr:row>
      <xdr:rowOff>76199</xdr:rowOff>
    </xdr:from>
    <xdr:to>
      <xdr:col>16</xdr:col>
      <xdr:colOff>192450</xdr:colOff>
      <xdr:row>148</xdr:row>
      <xdr:rowOff>133987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2066925" y="24536399"/>
          <a:ext cx="6421800" cy="3877313"/>
        </a:xfrm>
        <a:prstGeom prst="rect">
          <a:avLst/>
        </a:prstGeom>
      </xdr:spPr>
    </xdr:pic>
    <xdr:clientData/>
  </xdr:twoCellAnchor>
  <xdr:twoCellAnchor editAs="oneCell">
    <xdr:from>
      <xdr:col>1</xdr:col>
      <xdr:colOff>419100</xdr:colOff>
      <xdr:row>81</xdr:row>
      <xdr:rowOff>114300</xdr:rowOff>
    </xdr:from>
    <xdr:to>
      <xdr:col>16</xdr:col>
      <xdr:colOff>29440</xdr:colOff>
      <xdr:row>92</xdr:row>
      <xdr:rowOff>277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AFDFDF23-144D-DAC3-E628-FA26806CA3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2066925" y="14925675"/>
          <a:ext cx="6201640" cy="1981477"/>
        </a:xfrm>
        <a:prstGeom prst="rect">
          <a:avLst/>
        </a:prstGeom>
      </xdr:spPr>
    </xdr:pic>
    <xdr:clientData/>
  </xdr:twoCellAnchor>
  <xdr:twoCellAnchor>
    <xdr:from>
      <xdr:col>5</xdr:col>
      <xdr:colOff>128588</xdr:colOff>
      <xdr:row>86</xdr:row>
      <xdr:rowOff>109537</xdr:rowOff>
    </xdr:from>
    <xdr:to>
      <xdr:col>6</xdr:col>
      <xdr:colOff>214313</xdr:colOff>
      <xdr:row>88</xdr:row>
      <xdr:rowOff>100012</xdr:rowOff>
    </xdr:to>
    <xdr:sp macro="" textlink="">
      <xdr:nvSpPr>
        <xdr:cNvPr id="10" name="Flecha: hacia abajo 9">
          <a:extLst>
            <a:ext uri="{FF2B5EF4-FFF2-40B4-BE49-F238E27FC236}">
              <a16:creationId xmlns:a16="http://schemas.microsoft.com/office/drawing/2014/main" id="{7AEAACF8-352E-DFED-8117-51DE93A4F1CF}"/>
            </a:ext>
          </a:extLst>
        </xdr:cNvPr>
        <xdr:cNvSpPr/>
      </xdr:nvSpPr>
      <xdr:spPr>
        <a:xfrm rot="14714591">
          <a:off x="3305175" y="15859125"/>
          <a:ext cx="371475" cy="400050"/>
        </a:xfrm>
        <a:prstGeom prst="downArrow">
          <a:avLst/>
        </a:prstGeom>
        <a:solidFill>
          <a:schemeClr val="bg1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10</xdr:col>
      <xdr:colOff>342900</xdr:colOff>
      <xdr:row>88</xdr:row>
      <xdr:rowOff>9524</xdr:rowOff>
    </xdr:from>
    <xdr:to>
      <xdr:col>11</xdr:col>
      <xdr:colOff>238125</xdr:colOff>
      <xdr:row>90</xdr:row>
      <xdr:rowOff>28574</xdr:rowOff>
    </xdr:to>
    <xdr:sp macro="" textlink="">
      <xdr:nvSpPr>
        <xdr:cNvPr id="11" name="Flecha: hacia abajo 10">
          <a:extLst>
            <a:ext uri="{FF2B5EF4-FFF2-40B4-BE49-F238E27FC236}">
              <a16:creationId xmlns:a16="http://schemas.microsoft.com/office/drawing/2014/main" id="{5584BE58-B981-48B6-AF91-770BC28B94CE}"/>
            </a:ext>
          </a:extLst>
        </xdr:cNvPr>
        <xdr:cNvSpPr/>
      </xdr:nvSpPr>
      <xdr:spPr>
        <a:xfrm rot="10130787">
          <a:off x="5724525" y="16154399"/>
          <a:ext cx="371475" cy="400050"/>
        </a:xfrm>
        <a:prstGeom prst="downArrow">
          <a:avLst/>
        </a:prstGeom>
        <a:solidFill>
          <a:schemeClr val="bg1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6F1EA3-A124-41BC-B88F-3EFA7DDD2939}">
  <sheetPr codeName="Hoja2"/>
  <dimension ref="A1:BG150"/>
  <sheetViews>
    <sheetView tabSelected="1" workbookViewId="0">
      <selection activeCell="A3" sqref="A3"/>
    </sheetView>
  </sheetViews>
  <sheetFormatPr baseColWidth="10" defaultRowHeight="15" x14ac:dyDescent="0.25"/>
  <cols>
    <col min="1" max="1" width="24.7109375" customWidth="1"/>
    <col min="2" max="2" width="7" style="44" customWidth="1"/>
    <col min="3" max="3" width="7.7109375" style="44" customWidth="1"/>
    <col min="4" max="4" width="1.85546875" style="44" customWidth="1"/>
    <col min="5" max="5" width="6.140625" style="44" customWidth="1"/>
    <col min="6" max="6" width="4.7109375" style="44" customWidth="1"/>
    <col min="7" max="7" width="7.140625" style="44" customWidth="1"/>
    <col min="8" max="26" width="7.140625" customWidth="1"/>
    <col min="27" max="27" width="6.5703125" style="1" bestFit="1" customWidth="1"/>
    <col min="28" max="33" width="7.5703125" customWidth="1"/>
    <col min="34" max="34" width="7.28515625" customWidth="1"/>
    <col min="37" max="37" width="4.85546875" bestFit="1" customWidth="1"/>
    <col min="38" max="38" width="6.85546875" customWidth="1"/>
    <col min="39" max="39" width="7" customWidth="1"/>
    <col min="40" max="41" width="6.28515625" customWidth="1"/>
    <col min="42" max="57" width="4.5703125" bestFit="1" customWidth="1"/>
    <col min="58" max="58" width="8.5703125" style="1" bestFit="1" customWidth="1"/>
  </cols>
  <sheetData>
    <row r="1" spans="1:59" ht="15.75" x14ac:dyDescent="0.25">
      <c r="A1" s="105" t="s">
        <v>5</v>
      </c>
      <c r="B1" s="105"/>
      <c r="C1" s="105"/>
      <c r="D1" s="105"/>
      <c r="E1" s="105"/>
      <c r="F1" s="5" t="s">
        <v>6</v>
      </c>
      <c r="G1" s="6" t="s">
        <v>7</v>
      </c>
      <c r="H1" s="6" t="s">
        <v>3</v>
      </c>
      <c r="I1" s="6" t="s">
        <v>1</v>
      </c>
      <c r="J1" s="6" t="s">
        <v>4</v>
      </c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L1" s="84" t="s">
        <v>8</v>
      </c>
      <c r="AM1" s="84"/>
      <c r="AN1" s="84"/>
      <c r="AO1" s="84"/>
      <c r="AP1" s="84"/>
      <c r="AQ1" s="84"/>
      <c r="AR1" s="84"/>
      <c r="AS1" s="84"/>
      <c r="AT1" s="84"/>
      <c r="AU1" s="84"/>
      <c r="AV1" s="84"/>
      <c r="AW1" s="84"/>
      <c r="AX1" s="84"/>
      <c r="AY1" s="84"/>
      <c r="AZ1" s="84"/>
      <c r="BA1" s="84"/>
      <c r="BB1" s="84"/>
      <c r="BC1" s="84"/>
      <c r="BD1" s="84"/>
      <c r="BE1" s="84"/>
    </row>
    <row r="2" spans="1:59" s="14" customFormat="1" ht="12.95" customHeight="1" thickBot="1" x14ac:dyDescent="0.3">
      <c r="A2" s="7" t="s">
        <v>67</v>
      </c>
      <c r="B2" s="7"/>
      <c r="C2" s="101" t="str" cm="1">
        <f t="array" aca="1" ref="C2" ca="1">HYPERLINK("#"&amp;CELL("direccion",INDEX(TomaDec!$A$99:$O$3001,1,1))," ? ")</f>
        <v xml:space="preserve"> ? </v>
      </c>
      <c r="D2" s="7"/>
      <c r="E2" s="8">
        <f>SUM(G2:Z2)</f>
        <v>1</v>
      </c>
      <c r="F2" s="9" t="s">
        <v>9</v>
      </c>
      <c r="G2" s="10">
        <v>0.2</v>
      </c>
      <c r="H2" s="11">
        <v>0.2</v>
      </c>
      <c r="I2" s="12">
        <v>0.4</v>
      </c>
      <c r="J2" s="12">
        <v>0.2</v>
      </c>
      <c r="K2" s="12"/>
      <c r="L2" s="12"/>
      <c r="M2" s="12"/>
      <c r="N2" s="13"/>
      <c r="O2" s="12"/>
      <c r="P2" s="12"/>
      <c r="Q2" s="12"/>
      <c r="R2" s="12"/>
      <c r="S2" s="12"/>
      <c r="T2" s="12"/>
      <c r="U2" s="12"/>
      <c r="V2" s="12"/>
      <c r="W2" s="13"/>
      <c r="X2" s="12"/>
      <c r="Y2" s="12"/>
      <c r="Z2" s="13"/>
      <c r="AA2" s="85" t="str">
        <f>"Columnas marginales (j="&amp;B5+1&amp;")"</f>
        <v>Columnas marginales (j=5)</v>
      </c>
      <c r="AB2" s="86"/>
      <c r="AC2" s="86"/>
      <c r="AD2" s="86"/>
      <c r="AE2" s="86"/>
      <c r="AF2" s="86"/>
      <c r="AG2" s="86"/>
      <c r="AH2" s="86"/>
      <c r="AK2" s="15" t="s">
        <v>9</v>
      </c>
      <c r="AL2" s="16">
        <v>0.2</v>
      </c>
      <c r="AM2" s="17">
        <v>0.2</v>
      </c>
      <c r="AN2" s="18">
        <v>0.4</v>
      </c>
      <c r="AO2" s="18">
        <v>0.2</v>
      </c>
      <c r="AP2" s="18"/>
      <c r="AQ2" s="18"/>
      <c r="AR2" s="18"/>
      <c r="AS2" s="19"/>
      <c r="AT2" s="18"/>
      <c r="AU2" s="18"/>
      <c r="AV2" s="18"/>
      <c r="AW2" s="18"/>
      <c r="AX2" s="18"/>
      <c r="AY2" s="18"/>
      <c r="AZ2" s="18"/>
      <c r="BA2" s="18"/>
      <c r="BB2" s="19"/>
      <c r="BC2" s="18"/>
      <c r="BD2" s="18"/>
      <c r="BE2" s="19"/>
      <c r="BF2" s="60"/>
    </row>
    <row r="3" spans="1:59" ht="12.95" customHeight="1" thickBot="1" x14ac:dyDescent="0.3">
      <c r="A3" s="20" t="str">
        <f>IF(SUM($G$2:$Z$2)&lt;&gt;1,"LAS PROBABILIDADES DEBEN SER EXCLUYENTES! &gt;","")</f>
        <v/>
      </c>
      <c r="B3" s="21"/>
      <c r="C3" s="21"/>
      <c r="D3" s="21"/>
      <c r="E3" s="5" t="s">
        <v>6</v>
      </c>
      <c r="F3" s="22"/>
      <c r="G3" s="23" t="s">
        <v>10</v>
      </c>
      <c r="H3" s="24" t="s">
        <v>11</v>
      </c>
      <c r="I3" s="24" t="str">
        <f>IF($B$5&gt;2,"N3","")</f>
        <v>N3</v>
      </c>
      <c r="J3" s="24" t="str">
        <f>IF($B$5&gt;3,"N4","")</f>
        <v>N4</v>
      </c>
      <c r="K3" s="24" t="str">
        <f>IF($B$5&gt;4,"N5","")</f>
        <v/>
      </c>
      <c r="L3" s="24" t="str">
        <f>IF($B$5&gt;5,"N6","")</f>
        <v/>
      </c>
      <c r="M3" s="24" t="str">
        <f>IF($B$5&gt;6,"N7","")</f>
        <v/>
      </c>
      <c r="N3" s="24" t="str">
        <f>IF($B$5&gt;7,"N8","")</f>
        <v/>
      </c>
      <c r="O3" s="23" t="str">
        <f>IF($B$5&gt;8,"N9","")</f>
        <v/>
      </c>
      <c r="P3" s="24" t="str">
        <f>IF($B$5&gt;9,"N10","")</f>
        <v/>
      </c>
      <c r="Q3" s="24" t="str">
        <f>IF($B$5&gt;10,"N11","")</f>
        <v/>
      </c>
      <c r="R3" s="24" t="str">
        <f>IF($B$5&gt;11,"N12","")</f>
        <v/>
      </c>
      <c r="S3" s="24" t="str">
        <f>IF($B$5&gt;12,"N13","")</f>
        <v/>
      </c>
      <c r="T3" s="23" t="str">
        <f>IF($B$5&gt;13,"N14","")</f>
        <v/>
      </c>
      <c r="U3" s="24" t="str">
        <f>IF($B$5&gt;14,"N15","")</f>
        <v/>
      </c>
      <c r="V3" s="24" t="str">
        <f>IF($B$5&gt;15,"N16","")</f>
        <v/>
      </c>
      <c r="W3" s="25" t="str">
        <f>IF($B$5&gt;16,"N17","")</f>
        <v/>
      </c>
      <c r="X3" s="24" t="str">
        <f>IF($B$5&gt;17,"N18","")</f>
        <v/>
      </c>
      <c r="Y3" s="24" t="str">
        <f>IF($B$5&gt;18,"N19","")</f>
        <v/>
      </c>
      <c r="Z3" s="24" t="str">
        <f>IF($B$5&gt;19,"N20","")</f>
        <v/>
      </c>
      <c r="AA3" s="26" t="s">
        <v>12</v>
      </c>
      <c r="AB3" s="26" t="s">
        <v>13</v>
      </c>
      <c r="AC3" s="26" t="s">
        <v>14</v>
      </c>
      <c r="AD3" s="26" t="s">
        <v>15</v>
      </c>
      <c r="AE3" s="26" t="s">
        <v>16</v>
      </c>
      <c r="AF3" s="26" t="s">
        <v>17</v>
      </c>
      <c r="AG3" s="26" t="s">
        <v>18</v>
      </c>
      <c r="AH3" s="26" t="s">
        <v>12</v>
      </c>
      <c r="AJ3" s="78" t="str" cm="1">
        <f t="array" aca="1" ref="AJ3" ca="1">HYPERLINK("#"&amp;CELL("direccion",INDEX(TomaDec!$A$1,1,1)),"VOLVER")</f>
        <v>VOLVER</v>
      </c>
      <c r="AK3" s="27"/>
      <c r="AL3" s="28" t="s">
        <v>10</v>
      </c>
      <c r="AM3" s="29" t="s">
        <v>11</v>
      </c>
      <c r="AN3" s="29" t="str">
        <f>IF($B$5&gt;2,"N3","")</f>
        <v>N3</v>
      </c>
      <c r="AO3" s="29" t="str">
        <f>IF($B$5&gt;3,"N4","")</f>
        <v>N4</v>
      </c>
      <c r="AP3" s="29" t="str">
        <f>IF($B$5&gt;4,"N5","")</f>
        <v/>
      </c>
      <c r="AQ3" s="29" t="str">
        <f>IF($B$5&gt;5,"N6","")</f>
        <v/>
      </c>
      <c r="AR3" s="29" t="str">
        <f>IF($B$5&gt;6,"N7","")</f>
        <v/>
      </c>
      <c r="AS3" s="29" t="str">
        <f>IF($B$5&gt;7,"N8","")</f>
        <v/>
      </c>
      <c r="AT3" s="28" t="str">
        <f>IF($B$5&gt;8,"N9","")</f>
        <v/>
      </c>
      <c r="AU3" s="29" t="str">
        <f>IF($B$5&gt;9,"N10","")</f>
        <v/>
      </c>
      <c r="AV3" s="29" t="str">
        <f>IF($B$5&gt;10,"N11","")</f>
        <v/>
      </c>
      <c r="AW3" s="29" t="str">
        <f>IF($B$5&gt;11,"N12","")</f>
        <v/>
      </c>
      <c r="AX3" s="29" t="str">
        <f>IF($B$5&gt;12,"N13","")</f>
        <v/>
      </c>
      <c r="AY3" s="28" t="str">
        <f>IF($B$5&gt;13,"N14","")</f>
        <v/>
      </c>
      <c r="AZ3" s="29" t="str">
        <f>IF($B$5&gt;14,"N15","")</f>
        <v/>
      </c>
      <c r="BA3" s="29" t="str">
        <f>IF($B$5&gt;15,"N16","")</f>
        <v/>
      </c>
      <c r="BB3" s="30" t="str">
        <f>IF($B$5&gt;16,"N17","")</f>
        <v/>
      </c>
      <c r="BC3" s="29" t="str">
        <f>IF($B$5&gt;17,"N18","")</f>
        <v/>
      </c>
      <c r="BD3" s="29" t="str">
        <f>IF($B$5&gt;18,"N19","")</f>
        <v/>
      </c>
      <c r="BE3" s="29" t="str">
        <f>IF($B$5&gt;19,"N20","")</f>
        <v/>
      </c>
      <c r="BF3" s="77" t="s">
        <v>46</v>
      </c>
    </row>
    <row r="4" spans="1:59" s="2" customFormat="1" ht="12.95" customHeight="1" x14ac:dyDescent="0.2">
      <c r="A4" s="4" t="s">
        <v>19</v>
      </c>
      <c r="B4" s="31"/>
      <c r="C4" s="31"/>
      <c r="D4" s="31"/>
      <c r="E4" s="6" t="s">
        <v>20</v>
      </c>
      <c r="F4" s="32" t="s">
        <v>21</v>
      </c>
      <c r="G4" s="33">
        <v>2.5</v>
      </c>
      <c r="H4" s="33">
        <v>0</v>
      </c>
      <c r="I4" s="33">
        <v>-2.5</v>
      </c>
      <c r="J4" s="33">
        <v>-4.0999999999999996</v>
      </c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4" t="str">
        <f>F4</f>
        <v xml:space="preserve">a1: </v>
      </c>
      <c r="AB4" s="35">
        <f>IF(AA4&lt;&gt;"",MIN(G4:Z4),"")</f>
        <v>-4.0999999999999996</v>
      </c>
      <c r="AC4" s="36">
        <f>IF(AA4&lt;&gt;"",MAX(G4:Z4),"")</f>
        <v>2.5</v>
      </c>
      <c r="AD4" s="37">
        <f>IF(AA4&lt;&gt;"",$B$7*(MAX(G4:Z4))+(1-$B$7)*(MIN(G4:Z4)),"")</f>
        <v>-1.4599999999999995</v>
      </c>
      <c r="AE4" s="36">
        <f>IF(AA4&lt;&gt;"",MAX(G4:Z4),"")</f>
        <v>2.5</v>
      </c>
      <c r="AF4" s="37">
        <f>IF(AA4&lt;&gt;"",SUMPRODUCT(G4:Z4,G$2:Z$2),"")</f>
        <v>-1.3199999999999998</v>
      </c>
      <c r="AG4" s="36">
        <f>IFERROR(AVERAGE(G4:Z4),"")</f>
        <v>-1.0249999999999999</v>
      </c>
      <c r="AH4" s="38" t="str">
        <f>IF(E4&lt;&gt;"",E4,"")</f>
        <v>G</v>
      </c>
      <c r="AK4" s="39" t="s">
        <v>22</v>
      </c>
      <c r="AL4" s="40">
        <f>IF(G4&lt;&gt;"",$AL$24-G4,"")</f>
        <v>0</v>
      </c>
      <c r="AM4" s="40">
        <f>IF(H4&lt;&gt;"",$AM$24-H4,"")</f>
        <v>0.4</v>
      </c>
      <c r="AN4" s="40">
        <f>IF(I4&lt;&gt;"",$AN$24-I4,"")</f>
        <v>2.5</v>
      </c>
      <c r="AO4" s="40">
        <f>IF(J4&lt;&gt;"",$AO$24-J4,"")</f>
        <v>4.0999999999999996</v>
      </c>
      <c r="AP4" s="40" t="str">
        <f>IF(K4&lt;&gt;"",$AP$24-K4,"")</f>
        <v/>
      </c>
      <c r="AQ4" s="40" t="str">
        <f t="shared" ref="AQ4:BE19" si="0">IF(L4&lt;&gt;"",AQ$24-L4,"")</f>
        <v/>
      </c>
      <c r="AR4" s="40" t="str">
        <f t="shared" si="0"/>
        <v/>
      </c>
      <c r="AS4" s="40" t="str">
        <f t="shared" si="0"/>
        <v/>
      </c>
      <c r="AT4" s="40" t="str">
        <f t="shared" si="0"/>
        <v/>
      </c>
      <c r="AU4" s="40" t="str">
        <f t="shared" si="0"/>
        <v/>
      </c>
      <c r="AV4" s="40" t="str">
        <f t="shared" si="0"/>
        <v/>
      </c>
      <c r="AW4" s="40" t="str">
        <f t="shared" si="0"/>
        <v/>
      </c>
      <c r="AX4" s="40" t="str">
        <f t="shared" si="0"/>
        <v/>
      </c>
      <c r="AY4" s="40" t="str">
        <f t="shared" si="0"/>
        <v/>
      </c>
      <c r="AZ4" s="40" t="str">
        <f t="shared" si="0"/>
        <v/>
      </c>
      <c r="BA4" s="40" t="str">
        <f t="shared" si="0"/>
        <v/>
      </c>
      <c r="BB4" s="40" t="str">
        <f t="shared" si="0"/>
        <v/>
      </c>
      <c r="BC4" s="40" t="str">
        <f t="shared" si="0"/>
        <v/>
      </c>
      <c r="BD4" s="40" t="str">
        <f t="shared" si="0"/>
        <v/>
      </c>
      <c r="BE4" s="40" t="str">
        <f t="shared" si="0"/>
        <v/>
      </c>
      <c r="BF4" s="65">
        <f>IF($AK4="","",MAX(AL4:BE4))</f>
        <v>4.0999999999999996</v>
      </c>
      <c r="BG4" s="66"/>
    </row>
    <row r="5" spans="1:59" s="44" customFormat="1" ht="12.95" customHeight="1" x14ac:dyDescent="0.2">
      <c r="A5" s="3" t="s">
        <v>23</v>
      </c>
      <c r="B5" s="42">
        <v>4</v>
      </c>
      <c r="C5" s="43" t="s">
        <v>24</v>
      </c>
      <c r="D5" s="43"/>
      <c r="E5" s="6" t="s">
        <v>4</v>
      </c>
      <c r="F5" s="39" t="s">
        <v>25</v>
      </c>
      <c r="G5" s="33">
        <v>1.6</v>
      </c>
      <c r="H5" s="33">
        <v>0.3</v>
      </c>
      <c r="I5" s="33">
        <v>-1.2</v>
      </c>
      <c r="J5" s="33">
        <v>-2.1</v>
      </c>
      <c r="K5" s="33"/>
      <c r="L5" s="33"/>
      <c r="M5" s="33"/>
      <c r="N5" s="33"/>
      <c r="O5" s="33"/>
      <c r="P5" s="33"/>
      <c r="Q5" s="33"/>
      <c r="R5" s="33"/>
      <c r="S5" s="33"/>
      <c r="T5" s="33"/>
      <c r="U5" s="33"/>
      <c r="V5" s="33"/>
      <c r="W5" s="33"/>
      <c r="X5" s="33"/>
      <c r="Y5" s="33"/>
      <c r="Z5" s="33"/>
      <c r="AA5" s="34" t="str">
        <f t="shared" ref="AA5:AA23" si="1">F5</f>
        <v xml:space="preserve">a2: </v>
      </c>
      <c r="AB5" s="35">
        <f t="shared" ref="AB5:AB23" si="2">IF(AA5&lt;&gt;"",MIN(G5:Z5),"")</f>
        <v>-2.1</v>
      </c>
      <c r="AC5" s="36">
        <f t="shared" ref="AC5:AC23" si="3">IF(AA5&lt;&gt;"",MAX(G5:Z5),"")</f>
        <v>1.6</v>
      </c>
      <c r="AD5" s="37">
        <f t="shared" ref="AD5:AD23" si="4">IF(AA5&lt;&gt;"",$B$7*(MAX(G5:Z5))+(1-$B$7)*(MIN(G5:Z5)),"")</f>
        <v>-0.61999999999999988</v>
      </c>
      <c r="AE5" s="36">
        <f t="shared" ref="AE5:AE23" si="5">IF(AA5&lt;&gt;"",MAX(G5:Z5),"")</f>
        <v>1.6</v>
      </c>
      <c r="AF5" s="37">
        <f t="shared" ref="AF5:AF23" si="6">IF(AA5&lt;&gt;"",SUMPRODUCT(G5:Z5,G$2:Z$2),"")</f>
        <v>-0.52</v>
      </c>
      <c r="AG5" s="36">
        <f t="shared" ref="AG5:AG23" si="7">IFERROR(AVERAGE(G5:Z5),"")</f>
        <v>-0.35</v>
      </c>
      <c r="AH5" s="38" t="str">
        <f t="shared" ref="AH5:AH23" si="8">IF(E5&lt;&gt;"",E5,"")</f>
        <v>M</v>
      </c>
      <c r="AK5" s="39" t="s">
        <v>26</v>
      </c>
      <c r="AL5" s="40">
        <f t="shared" ref="AL5:AL23" si="9">IF(G5&lt;&gt;"",$AL$24-G5,"")</f>
        <v>0.89999999999999991</v>
      </c>
      <c r="AM5" s="40">
        <f t="shared" ref="AM5:AM23" si="10">IF(H5&lt;&gt;"",$AM$24-H5,"")</f>
        <v>0.10000000000000003</v>
      </c>
      <c r="AN5" s="40">
        <f t="shared" ref="AN5:AN23" si="11">IF(I5&lt;&gt;"",$AN$24-I5,"")</f>
        <v>1.2</v>
      </c>
      <c r="AO5" s="40">
        <f t="shared" ref="AO5:AO23" si="12">IF(J5&lt;&gt;"",$AO$24-J5,"")</f>
        <v>2.1</v>
      </c>
      <c r="AP5" s="40" t="str">
        <f t="shared" ref="AP5:AP23" si="13">IF(K5&lt;&gt;"",$AP$24-K5,"")</f>
        <v/>
      </c>
      <c r="AQ5" s="40" t="str">
        <f t="shared" si="0"/>
        <v/>
      </c>
      <c r="AR5" s="40" t="str">
        <f t="shared" si="0"/>
        <v/>
      </c>
      <c r="AS5" s="40" t="str">
        <f t="shared" si="0"/>
        <v/>
      </c>
      <c r="AT5" s="40" t="str">
        <f t="shared" si="0"/>
        <v/>
      </c>
      <c r="AU5" s="40" t="str">
        <f t="shared" si="0"/>
        <v/>
      </c>
      <c r="AV5" s="40" t="str">
        <f t="shared" si="0"/>
        <v/>
      </c>
      <c r="AW5" s="40" t="str">
        <f t="shared" si="0"/>
        <v/>
      </c>
      <c r="AX5" s="40" t="str">
        <f t="shared" si="0"/>
        <v/>
      </c>
      <c r="AY5" s="40" t="str">
        <f t="shared" si="0"/>
        <v/>
      </c>
      <c r="AZ5" s="40" t="str">
        <f t="shared" si="0"/>
        <v/>
      </c>
      <c r="BA5" s="40" t="str">
        <f t="shared" si="0"/>
        <v/>
      </c>
      <c r="BB5" s="40" t="str">
        <f t="shared" si="0"/>
        <v/>
      </c>
      <c r="BC5" s="40" t="str">
        <f t="shared" si="0"/>
        <v/>
      </c>
      <c r="BD5" s="40" t="str">
        <f t="shared" si="0"/>
        <v/>
      </c>
      <c r="BE5" s="40" t="str">
        <f t="shared" si="0"/>
        <v/>
      </c>
      <c r="BF5" s="63">
        <f t="shared" ref="BF5:BF23" si="14">IF($AK5="","",MAX(AL5:BE5))</f>
        <v>2.1</v>
      </c>
      <c r="BG5" s="64"/>
    </row>
    <row r="6" spans="1:59" ht="12.95" customHeight="1" x14ac:dyDescent="0.25">
      <c r="A6" s="3" t="s">
        <v>27</v>
      </c>
      <c r="B6" s="42">
        <v>4</v>
      </c>
      <c r="C6" s="43" t="s">
        <v>24</v>
      </c>
      <c r="D6" s="43"/>
      <c r="E6" s="6" t="s">
        <v>2</v>
      </c>
      <c r="F6" s="39" t="str">
        <f>IF($B$6&gt;2,"a3: ","")</f>
        <v xml:space="preserve">a3: </v>
      </c>
      <c r="G6" s="33">
        <v>0.6</v>
      </c>
      <c r="H6" s="33">
        <v>0.4</v>
      </c>
      <c r="I6" s="33">
        <v>-0.3</v>
      </c>
      <c r="J6" s="33">
        <v>-0.3</v>
      </c>
      <c r="K6" s="33"/>
      <c r="L6" s="33"/>
      <c r="M6" s="33"/>
      <c r="N6" s="33"/>
      <c r="O6" s="33"/>
      <c r="P6" s="33"/>
      <c r="Q6" s="33"/>
      <c r="R6" s="33"/>
      <c r="S6" s="33"/>
      <c r="T6" s="33"/>
      <c r="U6" s="33"/>
      <c r="V6" s="33"/>
      <c r="W6" s="33"/>
      <c r="X6" s="33"/>
      <c r="Y6" s="33"/>
      <c r="Z6" s="33"/>
      <c r="AA6" s="34" t="str">
        <f t="shared" si="1"/>
        <v xml:space="preserve">a3: </v>
      </c>
      <c r="AB6" s="35">
        <f t="shared" si="2"/>
        <v>-0.3</v>
      </c>
      <c r="AC6" s="36">
        <f t="shared" si="3"/>
        <v>0.6</v>
      </c>
      <c r="AD6" s="37">
        <f t="shared" si="4"/>
        <v>0.06</v>
      </c>
      <c r="AE6" s="36">
        <f t="shared" si="5"/>
        <v>0.6</v>
      </c>
      <c r="AF6" s="37">
        <f t="shared" si="6"/>
        <v>2.0000000000000018E-2</v>
      </c>
      <c r="AG6" s="36">
        <f t="shared" si="7"/>
        <v>9.9999999999999992E-2</v>
      </c>
      <c r="AH6" s="38" t="str">
        <f t="shared" si="8"/>
        <v>C</v>
      </c>
      <c r="AK6" s="39" t="str">
        <f>IF($B$6&gt;2,"a3","")</f>
        <v>a3</v>
      </c>
      <c r="AL6" s="40">
        <f t="shared" si="9"/>
        <v>1.9</v>
      </c>
      <c r="AM6" s="40">
        <f t="shared" si="10"/>
        <v>0</v>
      </c>
      <c r="AN6" s="40">
        <f t="shared" si="11"/>
        <v>0.3</v>
      </c>
      <c r="AO6" s="40">
        <f t="shared" si="12"/>
        <v>0.3</v>
      </c>
      <c r="AP6" s="40" t="str">
        <f t="shared" si="13"/>
        <v/>
      </c>
      <c r="AQ6" s="40" t="str">
        <f t="shared" si="0"/>
        <v/>
      </c>
      <c r="AR6" s="40" t="str">
        <f t="shared" si="0"/>
        <v/>
      </c>
      <c r="AS6" s="40" t="str">
        <f t="shared" si="0"/>
        <v/>
      </c>
      <c r="AT6" s="40" t="str">
        <f t="shared" si="0"/>
        <v/>
      </c>
      <c r="AU6" s="40" t="str">
        <f t="shared" si="0"/>
        <v/>
      </c>
      <c r="AV6" s="40" t="str">
        <f t="shared" si="0"/>
        <v/>
      </c>
      <c r="AW6" s="40" t="str">
        <f t="shared" si="0"/>
        <v/>
      </c>
      <c r="AX6" s="40" t="str">
        <f t="shared" si="0"/>
        <v/>
      </c>
      <c r="AY6" s="40" t="str">
        <f t="shared" si="0"/>
        <v/>
      </c>
      <c r="AZ6" s="40" t="str">
        <f t="shared" si="0"/>
        <v/>
      </c>
      <c r="BA6" s="40" t="str">
        <f t="shared" si="0"/>
        <v/>
      </c>
      <c r="BB6" s="40" t="str">
        <f t="shared" si="0"/>
        <v/>
      </c>
      <c r="BC6" s="40" t="str">
        <f t="shared" si="0"/>
        <v/>
      </c>
      <c r="BD6" s="40" t="str">
        <f t="shared" si="0"/>
        <v/>
      </c>
      <c r="BE6" s="40" t="str">
        <f t="shared" si="0"/>
        <v/>
      </c>
      <c r="BF6" s="63">
        <f t="shared" si="14"/>
        <v>1.9</v>
      </c>
      <c r="BG6" s="67"/>
    </row>
    <row r="7" spans="1:59" ht="12.95" customHeight="1" x14ac:dyDescent="0.25">
      <c r="A7" s="3" t="s">
        <v>28</v>
      </c>
      <c r="B7" s="45">
        <v>0.4</v>
      </c>
      <c r="C7" s="43"/>
      <c r="D7" s="43"/>
      <c r="E7" s="6" t="s">
        <v>29</v>
      </c>
      <c r="F7" s="39" t="str">
        <f>IF($B$6&gt;3,"a4: ","")</f>
        <v xml:space="preserve">a4: </v>
      </c>
      <c r="G7" s="33">
        <v>-0.4</v>
      </c>
      <c r="H7" s="33">
        <v>0</v>
      </c>
      <c r="I7" s="33">
        <v>0</v>
      </c>
      <c r="J7" s="33">
        <v>0</v>
      </c>
      <c r="K7" s="33"/>
      <c r="L7" s="33"/>
      <c r="M7" s="33"/>
      <c r="N7" s="33"/>
      <c r="O7" s="33"/>
      <c r="P7" s="33"/>
      <c r="Q7" s="33"/>
      <c r="R7" s="33"/>
      <c r="S7" s="33"/>
      <c r="T7" s="33"/>
      <c r="U7" s="33"/>
      <c r="V7" s="33"/>
      <c r="W7" s="33"/>
      <c r="X7" s="33"/>
      <c r="Y7" s="33"/>
      <c r="Z7" s="33"/>
      <c r="AA7" s="34" t="str">
        <f t="shared" si="1"/>
        <v xml:space="preserve">a4: </v>
      </c>
      <c r="AB7" s="35">
        <f t="shared" si="2"/>
        <v>-0.4</v>
      </c>
      <c r="AC7" s="36">
        <f t="shared" si="3"/>
        <v>0</v>
      </c>
      <c r="AD7" s="37">
        <f t="shared" si="4"/>
        <v>-0.24</v>
      </c>
      <c r="AE7" s="36">
        <f t="shared" si="5"/>
        <v>0</v>
      </c>
      <c r="AF7" s="37">
        <f t="shared" si="6"/>
        <v>-8.0000000000000016E-2</v>
      </c>
      <c r="AG7" s="36">
        <f t="shared" si="7"/>
        <v>-0.1</v>
      </c>
      <c r="AH7" s="38" t="str">
        <f t="shared" si="8"/>
        <v>Nada</v>
      </c>
      <c r="AK7" s="39" t="str">
        <f>IF($B$6&gt;3,"a4","")</f>
        <v>a4</v>
      </c>
      <c r="AL7" s="40">
        <f t="shared" si="9"/>
        <v>2.9</v>
      </c>
      <c r="AM7" s="40">
        <f t="shared" si="10"/>
        <v>0.4</v>
      </c>
      <c r="AN7" s="40">
        <f t="shared" si="11"/>
        <v>0</v>
      </c>
      <c r="AO7" s="40">
        <f t="shared" si="12"/>
        <v>0</v>
      </c>
      <c r="AP7" s="40" t="str">
        <f t="shared" si="13"/>
        <v/>
      </c>
      <c r="AQ7" s="40" t="str">
        <f t="shared" si="0"/>
        <v/>
      </c>
      <c r="AR7" s="40" t="str">
        <f t="shared" si="0"/>
        <v/>
      </c>
      <c r="AS7" s="40" t="str">
        <f t="shared" si="0"/>
        <v/>
      </c>
      <c r="AT7" s="40" t="str">
        <f t="shared" si="0"/>
        <v/>
      </c>
      <c r="AU7" s="40" t="str">
        <f t="shared" si="0"/>
        <v/>
      </c>
      <c r="AV7" s="40" t="str">
        <f t="shared" si="0"/>
        <v/>
      </c>
      <c r="AW7" s="40" t="str">
        <f t="shared" si="0"/>
        <v/>
      </c>
      <c r="AX7" s="40" t="str">
        <f t="shared" si="0"/>
        <v/>
      </c>
      <c r="AY7" s="40" t="str">
        <f t="shared" si="0"/>
        <v/>
      </c>
      <c r="AZ7" s="40" t="str">
        <f t="shared" si="0"/>
        <v/>
      </c>
      <c r="BA7" s="40" t="str">
        <f t="shared" si="0"/>
        <v/>
      </c>
      <c r="BB7" s="40" t="str">
        <f t="shared" si="0"/>
        <v/>
      </c>
      <c r="BC7" s="40" t="str">
        <f t="shared" si="0"/>
        <v/>
      </c>
      <c r="BD7" s="40" t="str">
        <f t="shared" si="0"/>
        <v/>
      </c>
      <c r="BE7" s="40" t="str">
        <f t="shared" si="0"/>
        <v/>
      </c>
      <c r="BF7" s="63">
        <f t="shared" si="14"/>
        <v>2.9</v>
      </c>
      <c r="BG7" s="67"/>
    </row>
    <row r="8" spans="1:59" ht="12.95" customHeight="1" thickBot="1" x14ac:dyDescent="0.3">
      <c r="A8" s="46" t="str">
        <f>IF(OR(B5&gt;20,B6&gt;20),"MAXIMO 20 ESTADOS O ACCIONES!!","")</f>
        <v/>
      </c>
      <c r="B8" s="43"/>
      <c r="C8" s="43"/>
      <c r="D8" s="43"/>
      <c r="E8" s="6"/>
      <c r="F8" s="47" t="str">
        <f>IF($B$6&gt;4,"a5: ","")</f>
        <v/>
      </c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3"/>
      <c r="AA8" s="34" t="str">
        <f t="shared" si="1"/>
        <v/>
      </c>
      <c r="AB8" s="35" t="str">
        <f t="shared" si="2"/>
        <v/>
      </c>
      <c r="AC8" s="36" t="str">
        <f t="shared" si="3"/>
        <v/>
      </c>
      <c r="AD8" s="37" t="str">
        <f t="shared" si="4"/>
        <v/>
      </c>
      <c r="AE8" s="36" t="str">
        <f t="shared" si="5"/>
        <v/>
      </c>
      <c r="AF8" s="37" t="str">
        <f t="shared" si="6"/>
        <v/>
      </c>
      <c r="AG8" s="36" t="str">
        <f t="shared" si="7"/>
        <v/>
      </c>
      <c r="AH8" s="3" t="str">
        <f t="shared" si="8"/>
        <v/>
      </c>
      <c r="AK8" s="39" t="str">
        <f>IF($B$6&gt;4,"a5","")</f>
        <v/>
      </c>
      <c r="AL8" s="40" t="str">
        <f t="shared" si="9"/>
        <v/>
      </c>
      <c r="AM8" s="40" t="str">
        <f t="shared" si="10"/>
        <v/>
      </c>
      <c r="AN8" s="40" t="str">
        <f t="shared" si="11"/>
        <v/>
      </c>
      <c r="AO8" s="40" t="str">
        <f t="shared" si="12"/>
        <v/>
      </c>
      <c r="AP8" s="40" t="str">
        <f t="shared" si="13"/>
        <v/>
      </c>
      <c r="AQ8" s="40" t="str">
        <f t="shared" si="0"/>
        <v/>
      </c>
      <c r="AR8" s="40" t="str">
        <f t="shared" si="0"/>
        <v/>
      </c>
      <c r="AS8" s="40" t="str">
        <f t="shared" si="0"/>
        <v/>
      </c>
      <c r="AT8" s="40" t="str">
        <f t="shared" si="0"/>
        <v/>
      </c>
      <c r="AU8" s="40" t="str">
        <f t="shared" si="0"/>
        <v/>
      </c>
      <c r="AV8" s="40" t="str">
        <f t="shared" si="0"/>
        <v/>
      </c>
      <c r="AW8" s="40" t="str">
        <f t="shared" si="0"/>
        <v/>
      </c>
      <c r="AX8" s="40" t="str">
        <f t="shared" si="0"/>
        <v/>
      </c>
      <c r="AY8" s="40" t="str">
        <f t="shared" si="0"/>
        <v/>
      </c>
      <c r="AZ8" s="40" t="str">
        <f t="shared" si="0"/>
        <v/>
      </c>
      <c r="BA8" s="40" t="str">
        <f t="shared" si="0"/>
        <v/>
      </c>
      <c r="BB8" s="40" t="str">
        <f t="shared" si="0"/>
        <v/>
      </c>
      <c r="BC8" s="40" t="str">
        <f t="shared" si="0"/>
        <v/>
      </c>
      <c r="BD8" s="40" t="str">
        <f t="shared" si="0"/>
        <v/>
      </c>
      <c r="BE8" s="40" t="str">
        <f t="shared" si="0"/>
        <v/>
      </c>
      <c r="BF8" s="68" t="str">
        <f t="shared" si="14"/>
        <v/>
      </c>
      <c r="BG8" s="67"/>
    </row>
    <row r="9" spans="1:59" ht="12.95" customHeight="1" thickBot="1" x14ac:dyDescent="0.3">
      <c r="A9" s="48" t="s">
        <v>30</v>
      </c>
      <c r="B9" s="49"/>
      <c r="C9" s="103" t="s">
        <v>65</v>
      </c>
      <c r="D9" s="49"/>
      <c r="E9" s="6"/>
      <c r="F9" s="32" t="str">
        <f>IF($B$6&gt;5,"a6: ","")</f>
        <v/>
      </c>
      <c r="G9" s="33"/>
      <c r="H9" s="33"/>
      <c r="I9" s="33"/>
      <c r="J9" s="33"/>
      <c r="K9" s="33"/>
      <c r="L9" s="33"/>
      <c r="M9" s="33"/>
      <c r="N9" s="33"/>
      <c r="O9" s="33"/>
      <c r="P9" s="33"/>
      <c r="Q9" s="33"/>
      <c r="R9" s="33"/>
      <c r="S9" s="33"/>
      <c r="T9" s="33"/>
      <c r="U9" s="33"/>
      <c r="V9" s="33"/>
      <c r="W9" s="33"/>
      <c r="X9" s="33"/>
      <c r="Y9" s="33"/>
      <c r="Z9" s="33"/>
      <c r="AA9" s="34" t="str">
        <f t="shared" si="1"/>
        <v/>
      </c>
      <c r="AB9" s="35" t="str">
        <f t="shared" si="2"/>
        <v/>
      </c>
      <c r="AC9" s="36" t="str">
        <f t="shared" si="3"/>
        <v/>
      </c>
      <c r="AD9" s="37" t="str">
        <f t="shared" si="4"/>
        <v/>
      </c>
      <c r="AE9" s="36" t="str">
        <f t="shared" si="5"/>
        <v/>
      </c>
      <c r="AF9" s="37" t="str">
        <f t="shared" si="6"/>
        <v/>
      </c>
      <c r="AG9" s="36" t="str">
        <f t="shared" si="7"/>
        <v/>
      </c>
      <c r="AH9" s="3" t="str">
        <f t="shared" si="8"/>
        <v/>
      </c>
      <c r="AK9" s="39" t="str">
        <f>IF($B$6&gt;5,"a6","")</f>
        <v/>
      </c>
      <c r="AL9" s="40" t="str">
        <f t="shared" si="9"/>
        <v/>
      </c>
      <c r="AM9" s="40" t="str">
        <f t="shared" si="10"/>
        <v/>
      </c>
      <c r="AN9" s="40" t="str">
        <f t="shared" si="11"/>
        <v/>
      </c>
      <c r="AO9" s="40" t="str">
        <f t="shared" si="12"/>
        <v/>
      </c>
      <c r="AP9" s="40" t="str">
        <f t="shared" si="13"/>
        <v/>
      </c>
      <c r="AQ9" s="40" t="str">
        <f t="shared" si="0"/>
        <v/>
      </c>
      <c r="AR9" s="40" t="str">
        <f t="shared" si="0"/>
        <v/>
      </c>
      <c r="AS9" s="40" t="str">
        <f t="shared" si="0"/>
        <v/>
      </c>
      <c r="AT9" s="40" t="str">
        <f t="shared" si="0"/>
        <v/>
      </c>
      <c r="AU9" s="40" t="str">
        <f t="shared" si="0"/>
        <v/>
      </c>
      <c r="AV9" s="40" t="str">
        <f t="shared" si="0"/>
        <v/>
      </c>
      <c r="AW9" s="40" t="str">
        <f t="shared" si="0"/>
        <v/>
      </c>
      <c r="AX9" s="40" t="str">
        <f t="shared" si="0"/>
        <v/>
      </c>
      <c r="AY9" s="40" t="str">
        <f t="shared" si="0"/>
        <v/>
      </c>
      <c r="AZ9" s="40" t="str">
        <f t="shared" si="0"/>
        <v/>
      </c>
      <c r="BA9" s="40" t="str">
        <f t="shared" si="0"/>
        <v/>
      </c>
      <c r="BB9" s="40" t="str">
        <f t="shared" si="0"/>
        <v/>
      </c>
      <c r="BC9" s="40" t="str">
        <f t="shared" si="0"/>
        <v/>
      </c>
      <c r="BD9" s="40" t="str">
        <f t="shared" si="0"/>
        <v/>
      </c>
      <c r="BE9" s="40" t="str">
        <f t="shared" si="0"/>
        <v/>
      </c>
      <c r="BF9" s="69" t="str">
        <f t="shared" si="14"/>
        <v/>
      </c>
    </row>
    <row r="10" spans="1:59" ht="12.95" customHeight="1" x14ac:dyDescent="0.25">
      <c r="A10" s="3" t="s">
        <v>31</v>
      </c>
      <c r="B10" s="50">
        <f ca="1">MAX(AB$4:(INDIRECT("$AB"&amp;$B$6+3)))</f>
        <v>-0.3</v>
      </c>
      <c r="C10" s="102" t="str" cm="1">
        <f t="array" aca="1" ref="C10" ca="1">_xlfn.XLOOKUP(B10,AB4:AB23,F4:F23&amp;E4:E23)</f>
        <v>a3: C</v>
      </c>
      <c r="D10" s="43"/>
      <c r="E10" s="6"/>
      <c r="F10" s="32" t="str">
        <f>IF($B$6&gt;5,"a7: ","")</f>
        <v/>
      </c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3"/>
      <c r="AA10" s="34" t="str">
        <f t="shared" si="1"/>
        <v/>
      </c>
      <c r="AB10" s="35" t="str">
        <f t="shared" si="2"/>
        <v/>
      </c>
      <c r="AC10" s="36" t="str">
        <f t="shared" si="3"/>
        <v/>
      </c>
      <c r="AD10" s="37" t="str">
        <f t="shared" si="4"/>
        <v/>
      </c>
      <c r="AE10" s="36" t="str">
        <f t="shared" si="5"/>
        <v/>
      </c>
      <c r="AF10" s="37" t="str">
        <f t="shared" si="6"/>
        <v/>
      </c>
      <c r="AG10" s="36" t="str">
        <f t="shared" si="7"/>
        <v/>
      </c>
      <c r="AH10" s="3" t="str">
        <f t="shared" si="8"/>
        <v/>
      </c>
      <c r="AK10" s="39" t="str">
        <f>IF($B$6&gt;5,"a7","")</f>
        <v/>
      </c>
      <c r="AL10" s="40" t="str">
        <f t="shared" si="9"/>
        <v/>
      </c>
      <c r="AM10" s="40" t="str">
        <f t="shared" si="10"/>
        <v/>
      </c>
      <c r="AN10" s="40" t="str">
        <f t="shared" si="11"/>
        <v/>
      </c>
      <c r="AO10" s="40" t="str">
        <f t="shared" si="12"/>
        <v/>
      </c>
      <c r="AP10" s="40" t="str">
        <f t="shared" si="13"/>
        <v/>
      </c>
      <c r="AQ10" s="40" t="str">
        <f t="shared" si="0"/>
        <v/>
      </c>
      <c r="AR10" s="40" t="str">
        <f t="shared" si="0"/>
        <v/>
      </c>
      <c r="AS10" s="40" t="str">
        <f t="shared" si="0"/>
        <v/>
      </c>
      <c r="AT10" s="40" t="str">
        <f t="shared" si="0"/>
        <v/>
      </c>
      <c r="AU10" s="40" t="str">
        <f t="shared" si="0"/>
        <v/>
      </c>
      <c r="AV10" s="40" t="str">
        <f t="shared" si="0"/>
        <v/>
      </c>
      <c r="AW10" s="40" t="str">
        <f t="shared" si="0"/>
        <v/>
      </c>
      <c r="AX10" s="40" t="str">
        <f t="shared" si="0"/>
        <v/>
      </c>
      <c r="AY10" s="40" t="str">
        <f t="shared" si="0"/>
        <v/>
      </c>
      <c r="AZ10" s="40" t="str">
        <f t="shared" si="0"/>
        <v/>
      </c>
      <c r="BA10" s="40" t="str">
        <f t="shared" si="0"/>
        <v/>
      </c>
      <c r="BB10" s="40" t="str">
        <f t="shared" si="0"/>
        <v/>
      </c>
      <c r="BC10" s="40" t="str">
        <f t="shared" si="0"/>
        <v/>
      </c>
      <c r="BD10" s="40" t="str">
        <f t="shared" si="0"/>
        <v/>
      </c>
      <c r="BE10" s="40" t="str">
        <f t="shared" si="0"/>
        <v/>
      </c>
      <c r="BF10" s="69" t="str">
        <f t="shared" si="14"/>
        <v/>
      </c>
    </row>
    <row r="11" spans="1:59" ht="12.95" customHeight="1" x14ac:dyDescent="0.25">
      <c r="A11" s="3" t="s">
        <v>32</v>
      </c>
      <c r="B11" s="50">
        <f ca="1">MAX(AC$4:(INDIRECT("$AC"&amp;$B$6+3)))</f>
        <v>2.5</v>
      </c>
      <c r="C11" s="51" t="str" cm="1">
        <f t="array" aca="1" ref="C11" ca="1">_xlfn.XLOOKUP(B11,AC4:AC23,F4:F23&amp;E4:E23)</f>
        <v>a1: G</v>
      </c>
      <c r="D11" s="49"/>
      <c r="E11" s="6"/>
      <c r="F11" s="32" t="str">
        <f>IF($B$6&gt;6,"a8; ","")</f>
        <v/>
      </c>
      <c r="G11" s="33"/>
      <c r="H11" s="33"/>
      <c r="I11" s="33"/>
      <c r="J11" s="33"/>
      <c r="K11" s="33"/>
      <c r="L11" s="33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  <c r="AA11" s="34" t="str">
        <f t="shared" si="1"/>
        <v/>
      </c>
      <c r="AB11" s="35" t="str">
        <f t="shared" si="2"/>
        <v/>
      </c>
      <c r="AC11" s="36" t="str">
        <f t="shared" si="3"/>
        <v/>
      </c>
      <c r="AD11" s="37" t="str">
        <f t="shared" si="4"/>
        <v/>
      </c>
      <c r="AE11" s="36" t="str">
        <f t="shared" si="5"/>
        <v/>
      </c>
      <c r="AF11" s="37" t="str">
        <f t="shared" si="6"/>
        <v/>
      </c>
      <c r="AG11" s="36" t="str">
        <f t="shared" si="7"/>
        <v/>
      </c>
      <c r="AH11" s="3" t="str">
        <f t="shared" si="8"/>
        <v/>
      </c>
      <c r="AK11" s="39" t="str">
        <f>IF($B$6&gt;6,"a8","")</f>
        <v/>
      </c>
      <c r="AL11" s="40" t="str">
        <f t="shared" si="9"/>
        <v/>
      </c>
      <c r="AM11" s="40" t="str">
        <f t="shared" si="10"/>
        <v/>
      </c>
      <c r="AN11" s="40" t="str">
        <f t="shared" si="11"/>
        <v/>
      </c>
      <c r="AO11" s="40" t="str">
        <f t="shared" si="12"/>
        <v/>
      </c>
      <c r="AP11" s="40" t="str">
        <f t="shared" si="13"/>
        <v/>
      </c>
      <c r="AQ11" s="40" t="str">
        <f t="shared" si="0"/>
        <v/>
      </c>
      <c r="AR11" s="40" t="str">
        <f t="shared" si="0"/>
        <v/>
      </c>
      <c r="AS11" s="40" t="str">
        <f t="shared" si="0"/>
        <v/>
      </c>
      <c r="AT11" s="40" t="str">
        <f t="shared" si="0"/>
        <v/>
      </c>
      <c r="AU11" s="40" t="str">
        <f t="shared" si="0"/>
        <v/>
      </c>
      <c r="AV11" s="40" t="str">
        <f t="shared" si="0"/>
        <v/>
      </c>
      <c r="AW11" s="40" t="str">
        <f t="shared" si="0"/>
        <v/>
      </c>
      <c r="AX11" s="40" t="str">
        <f t="shared" si="0"/>
        <v/>
      </c>
      <c r="AY11" s="40" t="str">
        <f t="shared" si="0"/>
        <v/>
      </c>
      <c r="AZ11" s="40" t="str">
        <f t="shared" si="0"/>
        <v/>
      </c>
      <c r="BA11" s="40" t="str">
        <f t="shared" si="0"/>
        <v/>
      </c>
      <c r="BB11" s="40" t="str">
        <f t="shared" si="0"/>
        <v/>
      </c>
      <c r="BC11" s="40" t="str">
        <f t="shared" si="0"/>
        <v/>
      </c>
      <c r="BD11" s="40" t="str">
        <f t="shared" si="0"/>
        <v/>
      </c>
      <c r="BE11" s="40" t="str">
        <f t="shared" si="0"/>
        <v/>
      </c>
      <c r="BF11" s="68" t="str">
        <f t="shared" si="14"/>
        <v/>
      </c>
      <c r="BG11" s="67"/>
    </row>
    <row r="12" spans="1:59" ht="12.95" customHeight="1" x14ac:dyDescent="0.25">
      <c r="A12" s="3" t="s">
        <v>33</v>
      </c>
      <c r="B12" s="50">
        <f ca="1">MAX(AD$4:(INDIRECT("$AD"&amp;$B$6+3)))</f>
        <v>0.06</v>
      </c>
      <c r="C12" s="51" t="str" cm="1">
        <f t="array" aca="1" ref="C12" ca="1">_xlfn.XLOOKUP(B12,AD4:AD23,F4:F23&amp;E4:E23)</f>
        <v>a3: C</v>
      </c>
      <c r="D12" s="43"/>
      <c r="E12" s="6"/>
      <c r="F12" s="32" t="str">
        <f>IF($B$6&gt;8,"a9: ","")</f>
        <v/>
      </c>
      <c r="G12" s="33"/>
      <c r="H12" s="33"/>
      <c r="I12" s="33"/>
      <c r="J12" s="33"/>
      <c r="K12" s="33"/>
      <c r="L12" s="33"/>
      <c r="M12" s="33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  <c r="AA12" s="34" t="str">
        <f t="shared" si="1"/>
        <v/>
      </c>
      <c r="AB12" s="35" t="str">
        <f t="shared" si="2"/>
        <v/>
      </c>
      <c r="AC12" s="36" t="str">
        <f t="shared" si="3"/>
        <v/>
      </c>
      <c r="AD12" s="37" t="str">
        <f t="shared" si="4"/>
        <v/>
      </c>
      <c r="AE12" s="36" t="str">
        <f t="shared" si="5"/>
        <v/>
      </c>
      <c r="AF12" s="37" t="str">
        <f t="shared" si="6"/>
        <v/>
      </c>
      <c r="AG12" s="36" t="str">
        <f t="shared" si="7"/>
        <v/>
      </c>
      <c r="AH12" s="3" t="str">
        <f t="shared" si="8"/>
        <v/>
      </c>
      <c r="AK12" s="39" t="str">
        <f>IF($B$6&gt;8,"a9","")</f>
        <v/>
      </c>
      <c r="AL12" s="40" t="str">
        <f t="shared" si="9"/>
        <v/>
      </c>
      <c r="AM12" s="40" t="str">
        <f t="shared" si="10"/>
        <v/>
      </c>
      <c r="AN12" s="40" t="str">
        <f t="shared" si="11"/>
        <v/>
      </c>
      <c r="AO12" s="40" t="str">
        <f t="shared" si="12"/>
        <v/>
      </c>
      <c r="AP12" s="40" t="str">
        <f t="shared" si="13"/>
        <v/>
      </c>
      <c r="AQ12" s="40" t="str">
        <f t="shared" si="0"/>
        <v/>
      </c>
      <c r="AR12" s="40" t="str">
        <f t="shared" si="0"/>
        <v/>
      </c>
      <c r="AS12" s="40" t="str">
        <f t="shared" si="0"/>
        <v/>
      </c>
      <c r="AT12" s="40" t="str">
        <f t="shared" si="0"/>
        <v/>
      </c>
      <c r="AU12" s="40" t="str">
        <f t="shared" si="0"/>
        <v/>
      </c>
      <c r="AV12" s="40" t="str">
        <f t="shared" si="0"/>
        <v/>
      </c>
      <c r="AW12" s="40" t="str">
        <f t="shared" si="0"/>
        <v/>
      </c>
      <c r="AX12" s="40" t="str">
        <f t="shared" si="0"/>
        <v/>
      </c>
      <c r="AY12" s="40" t="str">
        <f t="shared" si="0"/>
        <v/>
      </c>
      <c r="AZ12" s="40" t="str">
        <f t="shared" si="0"/>
        <v/>
      </c>
      <c r="BA12" s="40" t="str">
        <f t="shared" si="0"/>
        <v/>
      </c>
      <c r="BB12" s="40" t="str">
        <f t="shared" si="0"/>
        <v/>
      </c>
      <c r="BC12" s="40" t="str">
        <f t="shared" si="0"/>
        <v/>
      </c>
      <c r="BD12" s="40" t="str">
        <f t="shared" si="0"/>
        <v/>
      </c>
      <c r="BE12" s="40" t="str">
        <f t="shared" si="0"/>
        <v/>
      </c>
      <c r="BF12" s="68" t="str">
        <f t="shared" si="14"/>
        <v/>
      </c>
      <c r="BG12" s="67"/>
    </row>
    <row r="13" spans="1:59" ht="12.95" customHeight="1" x14ac:dyDescent="0.25">
      <c r="A13" s="3" t="s">
        <v>34</v>
      </c>
      <c r="B13" s="50">
        <f ca="1">MIN(AE$4:(INDIRECT("$AE"&amp;$B$6+3)))</f>
        <v>0</v>
      </c>
      <c r="C13" s="51" t="str" cm="1">
        <f t="array" aca="1" ref="C13" ca="1">_xlfn.XLOOKUP(B13,AE4:AE23,F4:F23&amp;E4:E23)</f>
        <v>a4: Nada</v>
      </c>
      <c r="D13" s="49"/>
      <c r="E13" s="6"/>
      <c r="F13" s="32" t="str">
        <f>IF($B$6&gt;9,"a10: ","")</f>
        <v/>
      </c>
      <c r="G13" s="33"/>
      <c r="H13" s="33"/>
      <c r="I13" s="33"/>
      <c r="J13" s="33"/>
      <c r="K13" s="33"/>
      <c r="L13" s="33"/>
      <c r="M13" s="33"/>
      <c r="N13" s="33"/>
      <c r="O13" s="33"/>
      <c r="P13" s="33"/>
      <c r="Q13" s="33"/>
      <c r="R13" s="33"/>
      <c r="S13" s="33"/>
      <c r="T13" s="33"/>
      <c r="U13" s="33"/>
      <c r="V13" s="33"/>
      <c r="W13" s="33"/>
      <c r="X13" s="33"/>
      <c r="Y13" s="33"/>
      <c r="Z13" s="33"/>
      <c r="AA13" s="34" t="str">
        <f t="shared" si="1"/>
        <v/>
      </c>
      <c r="AB13" s="35" t="str">
        <f t="shared" si="2"/>
        <v/>
      </c>
      <c r="AC13" s="36" t="str">
        <f t="shared" si="3"/>
        <v/>
      </c>
      <c r="AD13" s="37" t="str">
        <f t="shared" si="4"/>
        <v/>
      </c>
      <c r="AE13" s="36" t="str">
        <f t="shared" si="5"/>
        <v/>
      </c>
      <c r="AF13" s="37" t="str">
        <f t="shared" si="6"/>
        <v/>
      </c>
      <c r="AG13" s="36" t="str">
        <f t="shared" si="7"/>
        <v/>
      </c>
      <c r="AH13" s="3" t="str">
        <f t="shared" si="8"/>
        <v/>
      </c>
      <c r="AK13" s="39" t="str">
        <f>IF($B$6&gt;9,"a10","")</f>
        <v/>
      </c>
      <c r="AL13" s="40" t="str">
        <f t="shared" si="9"/>
        <v/>
      </c>
      <c r="AM13" s="40" t="str">
        <f t="shared" si="10"/>
        <v/>
      </c>
      <c r="AN13" s="40" t="str">
        <f t="shared" si="11"/>
        <v/>
      </c>
      <c r="AO13" s="40" t="str">
        <f t="shared" si="12"/>
        <v/>
      </c>
      <c r="AP13" s="40" t="str">
        <f t="shared" si="13"/>
        <v/>
      </c>
      <c r="AQ13" s="40" t="str">
        <f t="shared" si="0"/>
        <v/>
      </c>
      <c r="AR13" s="40" t="str">
        <f t="shared" si="0"/>
        <v/>
      </c>
      <c r="AS13" s="40" t="str">
        <f t="shared" si="0"/>
        <v/>
      </c>
      <c r="AT13" s="40" t="str">
        <f t="shared" si="0"/>
        <v/>
      </c>
      <c r="AU13" s="40" t="str">
        <f t="shared" si="0"/>
        <v/>
      </c>
      <c r="AV13" s="40" t="str">
        <f t="shared" si="0"/>
        <v/>
      </c>
      <c r="AW13" s="40" t="str">
        <f t="shared" si="0"/>
        <v/>
      </c>
      <c r="AX13" s="40" t="str">
        <f t="shared" si="0"/>
        <v/>
      </c>
      <c r="AY13" s="40" t="str">
        <f t="shared" si="0"/>
        <v/>
      </c>
      <c r="AZ13" s="40" t="str">
        <f t="shared" si="0"/>
        <v/>
      </c>
      <c r="BA13" s="40" t="str">
        <f t="shared" si="0"/>
        <v/>
      </c>
      <c r="BB13" s="40" t="str">
        <f t="shared" si="0"/>
        <v/>
      </c>
      <c r="BC13" s="40" t="str">
        <f t="shared" si="0"/>
        <v/>
      </c>
      <c r="BD13" s="40" t="str">
        <f t="shared" si="0"/>
        <v/>
      </c>
      <c r="BE13" s="40" t="str">
        <f t="shared" si="0"/>
        <v/>
      </c>
      <c r="BF13" s="68" t="str">
        <f t="shared" si="14"/>
        <v/>
      </c>
      <c r="BG13" s="67"/>
    </row>
    <row r="14" spans="1:59" ht="12.95" customHeight="1" x14ac:dyDescent="0.25">
      <c r="A14" s="3" t="s">
        <v>35</v>
      </c>
      <c r="B14" s="50">
        <f ca="1">MAX(AF$4:(INDIRECT("$AF"&amp;$B$6+3)))</f>
        <v>2.0000000000000018E-2</v>
      </c>
      <c r="C14" s="51" t="str" cm="1">
        <f t="array" aca="1" ref="C14" ca="1">_xlfn.XLOOKUP(B14,AF4:AF23,F4:F23&amp;E4:E23)</f>
        <v>a3: C</v>
      </c>
      <c r="D14" s="43"/>
      <c r="E14" s="6"/>
      <c r="F14" s="32" t="str">
        <f>IF($B$6&gt;10,"a11: ","")</f>
        <v/>
      </c>
      <c r="G14" s="33"/>
      <c r="H14" s="33"/>
      <c r="I14" s="33"/>
      <c r="J14" s="33"/>
      <c r="K14" s="33"/>
      <c r="L14" s="33"/>
      <c r="M14" s="33"/>
      <c r="N14" s="33"/>
      <c r="O14" s="33"/>
      <c r="P14" s="33"/>
      <c r="Q14" s="33"/>
      <c r="R14" s="33"/>
      <c r="S14" s="33"/>
      <c r="T14" s="33"/>
      <c r="U14" s="33"/>
      <c r="V14" s="33"/>
      <c r="W14" s="33"/>
      <c r="X14" s="33"/>
      <c r="Y14" s="33"/>
      <c r="Z14" s="33"/>
      <c r="AA14" s="34" t="str">
        <f t="shared" si="1"/>
        <v/>
      </c>
      <c r="AB14" s="35" t="str">
        <f t="shared" si="2"/>
        <v/>
      </c>
      <c r="AC14" s="36" t="str">
        <f t="shared" si="3"/>
        <v/>
      </c>
      <c r="AD14" s="37" t="str">
        <f t="shared" si="4"/>
        <v/>
      </c>
      <c r="AE14" s="36" t="str">
        <f t="shared" si="5"/>
        <v/>
      </c>
      <c r="AF14" s="37" t="str">
        <f t="shared" si="6"/>
        <v/>
      </c>
      <c r="AG14" s="36" t="str">
        <f t="shared" si="7"/>
        <v/>
      </c>
      <c r="AH14" s="3" t="str">
        <f t="shared" si="8"/>
        <v/>
      </c>
      <c r="AK14" s="39" t="str">
        <f>IF($B$6&gt;10,"a11","")</f>
        <v/>
      </c>
      <c r="AL14" s="40" t="str">
        <f t="shared" si="9"/>
        <v/>
      </c>
      <c r="AM14" s="40" t="str">
        <f t="shared" si="10"/>
        <v/>
      </c>
      <c r="AN14" s="40" t="str">
        <f t="shared" si="11"/>
        <v/>
      </c>
      <c r="AO14" s="40" t="str">
        <f t="shared" si="12"/>
        <v/>
      </c>
      <c r="AP14" s="40" t="str">
        <f t="shared" si="13"/>
        <v/>
      </c>
      <c r="AQ14" s="40" t="str">
        <f t="shared" si="0"/>
        <v/>
      </c>
      <c r="AR14" s="40" t="str">
        <f t="shared" si="0"/>
        <v/>
      </c>
      <c r="AS14" s="40" t="str">
        <f t="shared" si="0"/>
        <v/>
      </c>
      <c r="AT14" s="40" t="str">
        <f t="shared" si="0"/>
        <v/>
      </c>
      <c r="AU14" s="40" t="str">
        <f t="shared" si="0"/>
        <v/>
      </c>
      <c r="AV14" s="40" t="str">
        <f t="shared" si="0"/>
        <v/>
      </c>
      <c r="AW14" s="40" t="str">
        <f t="shared" si="0"/>
        <v/>
      </c>
      <c r="AX14" s="40" t="str">
        <f t="shared" si="0"/>
        <v/>
      </c>
      <c r="AY14" s="40" t="str">
        <f t="shared" si="0"/>
        <v/>
      </c>
      <c r="AZ14" s="40" t="str">
        <f t="shared" si="0"/>
        <v/>
      </c>
      <c r="BA14" s="40" t="str">
        <f t="shared" si="0"/>
        <v/>
      </c>
      <c r="BB14" s="40" t="str">
        <f t="shared" si="0"/>
        <v/>
      </c>
      <c r="BC14" s="40" t="str">
        <f t="shared" si="0"/>
        <v/>
      </c>
      <c r="BD14" s="40" t="str">
        <f t="shared" si="0"/>
        <v/>
      </c>
      <c r="BE14" s="40" t="str">
        <f t="shared" si="0"/>
        <v/>
      </c>
      <c r="BF14" s="70" t="str">
        <f t="shared" si="14"/>
        <v/>
      </c>
      <c r="BG14" s="67"/>
    </row>
    <row r="15" spans="1:59" ht="12.95" customHeight="1" x14ac:dyDescent="0.25">
      <c r="A15" s="3" t="s">
        <v>36</v>
      </c>
      <c r="B15" s="50">
        <f ca="1">MAX(AG$4:(INDIRECT("$AG"&amp;$B$6+3)))</f>
        <v>9.9999999999999992E-2</v>
      </c>
      <c r="C15" s="51" t="str" cm="1">
        <f t="array" aca="1" ref="C15" ca="1">_xlfn.XLOOKUP(B15,AG4:AG23,F4:F23&amp;E4:E23)</f>
        <v>a3: C</v>
      </c>
      <c r="D15" s="49"/>
      <c r="E15" s="6"/>
      <c r="F15" s="32" t="str">
        <f>IF($B$6&gt;11,"a12: ","")</f>
        <v/>
      </c>
      <c r="G15" s="33"/>
      <c r="H15" s="33"/>
      <c r="I15" s="33"/>
      <c r="J15" s="33"/>
      <c r="K15" s="33"/>
      <c r="L15" s="33"/>
      <c r="M15" s="33"/>
      <c r="N15" s="33"/>
      <c r="O15" s="33"/>
      <c r="P15" s="33"/>
      <c r="Q15" s="33"/>
      <c r="R15" s="33"/>
      <c r="S15" s="33"/>
      <c r="T15" s="33"/>
      <c r="U15" s="33"/>
      <c r="V15" s="33"/>
      <c r="W15" s="33"/>
      <c r="X15" s="33"/>
      <c r="Y15" s="33"/>
      <c r="Z15" s="33"/>
      <c r="AA15" s="34" t="str">
        <f t="shared" si="1"/>
        <v/>
      </c>
      <c r="AB15" s="35" t="str">
        <f t="shared" si="2"/>
        <v/>
      </c>
      <c r="AC15" s="36" t="str">
        <f t="shared" si="3"/>
        <v/>
      </c>
      <c r="AD15" s="37" t="str">
        <f t="shared" si="4"/>
        <v/>
      </c>
      <c r="AE15" s="36" t="str">
        <f t="shared" si="5"/>
        <v/>
      </c>
      <c r="AF15" s="37" t="str">
        <f t="shared" si="6"/>
        <v/>
      </c>
      <c r="AG15" s="36" t="str">
        <f t="shared" si="7"/>
        <v/>
      </c>
      <c r="AH15" s="3" t="str">
        <f t="shared" si="8"/>
        <v/>
      </c>
      <c r="AK15" s="39" t="str">
        <f>IF($B$6&gt;11,"a12","")</f>
        <v/>
      </c>
      <c r="AL15" s="40" t="str">
        <f t="shared" si="9"/>
        <v/>
      </c>
      <c r="AM15" s="40" t="str">
        <f t="shared" si="10"/>
        <v/>
      </c>
      <c r="AN15" s="40" t="str">
        <f t="shared" si="11"/>
        <v/>
      </c>
      <c r="AO15" s="40" t="str">
        <f t="shared" si="12"/>
        <v/>
      </c>
      <c r="AP15" s="40" t="str">
        <f t="shared" si="13"/>
        <v/>
      </c>
      <c r="AQ15" s="40" t="str">
        <f t="shared" si="0"/>
        <v/>
      </c>
      <c r="AR15" s="40" t="str">
        <f t="shared" si="0"/>
        <v/>
      </c>
      <c r="AS15" s="40" t="str">
        <f t="shared" si="0"/>
        <v/>
      </c>
      <c r="AT15" s="40" t="str">
        <f t="shared" si="0"/>
        <v/>
      </c>
      <c r="AU15" s="40" t="str">
        <f t="shared" si="0"/>
        <v/>
      </c>
      <c r="AV15" s="40" t="str">
        <f t="shared" si="0"/>
        <v/>
      </c>
      <c r="AW15" s="40" t="str">
        <f t="shared" si="0"/>
        <v/>
      </c>
      <c r="AX15" s="40" t="str">
        <f t="shared" si="0"/>
        <v/>
      </c>
      <c r="AY15" s="40" t="str">
        <f t="shared" si="0"/>
        <v/>
      </c>
      <c r="AZ15" s="40" t="str">
        <f t="shared" si="0"/>
        <v/>
      </c>
      <c r="BA15" s="40" t="str">
        <f t="shared" si="0"/>
        <v/>
      </c>
      <c r="BB15" s="40" t="str">
        <f t="shared" si="0"/>
        <v/>
      </c>
      <c r="BC15" s="40" t="str">
        <f t="shared" si="0"/>
        <v/>
      </c>
      <c r="BD15" s="40" t="str">
        <f t="shared" si="0"/>
        <v/>
      </c>
      <c r="BE15" s="40" t="str">
        <f t="shared" si="0"/>
        <v/>
      </c>
      <c r="BF15" s="68" t="str">
        <f t="shared" si="14"/>
        <v/>
      </c>
      <c r="BG15" s="67"/>
    </row>
    <row r="16" spans="1:59" ht="12.95" customHeight="1" thickBot="1" x14ac:dyDescent="0.3">
      <c r="A16" s="3" t="s">
        <v>37</v>
      </c>
      <c r="B16" s="58">
        <f ca="1">MIN(BF$4:(INDIRECT("$BF"&amp;$B$6+3)))</f>
        <v>1.9</v>
      </c>
      <c r="C16" s="59" t="str" cm="1">
        <f t="array" aca="1" ref="C16" ca="1">_xlfn.XLOOKUP(B16,BF4:BF23,F4:F23&amp;E4:E23)</f>
        <v>a3: C</v>
      </c>
      <c r="D16" s="43"/>
      <c r="E16" s="6"/>
      <c r="F16" s="32" t="str">
        <f>IF($B$6&gt;12,"a13: ","")</f>
        <v/>
      </c>
      <c r="G16" s="33"/>
      <c r="H16" s="33"/>
      <c r="I16" s="33"/>
      <c r="J16" s="33"/>
      <c r="K16" s="33"/>
      <c r="L16" s="33"/>
      <c r="M16" s="33"/>
      <c r="N16" s="33"/>
      <c r="O16" s="33"/>
      <c r="P16" s="33"/>
      <c r="Q16" s="33"/>
      <c r="R16" s="33"/>
      <c r="S16" s="33"/>
      <c r="T16" s="33"/>
      <c r="U16" s="33"/>
      <c r="V16" s="33"/>
      <c r="W16" s="33"/>
      <c r="X16" s="33"/>
      <c r="Y16" s="33"/>
      <c r="Z16" s="33"/>
      <c r="AA16" s="34" t="str">
        <f t="shared" si="1"/>
        <v/>
      </c>
      <c r="AB16" s="35" t="str">
        <f t="shared" si="2"/>
        <v/>
      </c>
      <c r="AC16" s="36" t="str">
        <f t="shared" si="3"/>
        <v/>
      </c>
      <c r="AD16" s="37" t="str">
        <f t="shared" si="4"/>
        <v/>
      </c>
      <c r="AE16" s="36" t="str">
        <f t="shared" si="5"/>
        <v/>
      </c>
      <c r="AF16" s="37" t="str">
        <f t="shared" si="6"/>
        <v/>
      </c>
      <c r="AG16" s="36" t="str">
        <f t="shared" si="7"/>
        <v/>
      </c>
      <c r="AH16" s="3" t="str">
        <f t="shared" si="8"/>
        <v/>
      </c>
      <c r="AK16" s="39" t="str">
        <f>IF($B$6&gt;12,"a13","")</f>
        <v/>
      </c>
      <c r="AL16" s="40" t="str">
        <f t="shared" si="9"/>
        <v/>
      </c>
      <c r="AM16" s="40" t="str">
        <f t="shared" si="10"/>
        <v/>
      </c>
      <c r="AN16" s="40" t="str">
        <f t="shared" si="11"/>
        <v/>
      </c>
      <c r="AO16" s="40" t="str">
        <f t="shared" si="12"/>
        <v/>
      </c>
      <c r="AP16" s="40" t="str">
        <f t="shared" si="13"/>
        <v/>
      </c>
      <c r="AQ16" s="40" t="str">
        <f t="shared" si="0"/>
        <v/>
      </c>
      <c r="AR16" s="40" t="str">
        <f t="shared" si="0"/>
        <v/>
      </c>
      <c r="AS16" s="40" t="str">
        <f t="shared" si="0"/>
        <v/>
      </c>
      <c r="AT16" s="40" t="str">
        <f t="shared" si="0"/>
        <v/>
      </c>
      <c r="AU16" s="40" t="str">
        <f t="shared" si="0"/>
        <v/>
      </c>
      <c r="AV16" s="40" t="str">
        <f t="shared" si="0"/>
        <v/>
      </c>
      <c r="AW16" s="40" t="str">
        <f t="shared" si="0"/>
        <v/>
      </c>
      <c r="AX16" s="40" t="str">
        <f t="shared" si="0"/>
        <v/>
      </c>
      <c r="AY16" s="40" t="str">
        <f t="shared" si="0"/>
        <v/>
      </c>
      <c r="AZ16" s="40" t="str">
        <f t="shared" si="0"/>
        <v/>
      </c>
      <c r="BA16" s="40" t="str">
        <f t="shared" si="0"/>
        <v/>
      </c>
      <c r="BB16" s="40" t="str">
        <f t="shared" si="0"/>
        <v/>
      </c>
      <c r="BC16" s="40" t="str">
        <f t="shared" si="0"/>
        <v/>
      </c>
      <c r="BD16" s="40" t="str">
        <f t="shared" si="0"/>
        <v/>
      </c>
      <c r="BE16" s="40" t="str">
        <f t="shared" si="0"/>
        <v/>
      </c>
      <c r="BF16" s="69" t="str">
        <f t="shared" si="14"/>
        <v/>
      </c>
    </row>
    <row r="17" spans="1:59" ht="12.95" customHeight="1" thickBot="1" x14ac:dyDescent="0.3">
      <c r="A17" s="104"/>
      <c r="B17" s="87" t="str" cm="1">
        <f t="array" aca="1" ref="B17" ca="1">HYPERLINK("#"&amp;CELL("direccion",INDEX(TomaDec!$AK$1:$AK$1,1,1)),"Ver vector J = "&amp;$B$5+1)</f>
        <v>Ver vector J = 5</v>
      </c>
      <c r="C17" s="88"/>
      <c r="D17" s="31"/>
      <c r="E17" s="6"/>
      <c r="F17" s="32" t="str">
        <f>IF($B$6&gt;13,"a14: ","")</f>
        <v/>
      </c>
      <c r="G17" s="33"/>
      <c r="H17" s="33"/>
      <c r="I17" s="33"/>
      <c r="J17" s="33"/>
      <c r="K17" s="33"/>
      <c r="L17" s="33"/>
      <c r="M17" s="33"/>
      <c r="N17" s="33"/>
      <c r="O17" s="33"/>
      <c r="P17" s="33"/>
      <c r="Q17" s="33"/>
      <c r="R17" s="33"/>
      <c r="S17" s="33"/>
      <c r="T17" s="33"/>
      <c r="U17" s="33"/>
      <c r="V17" s="33"/>
      <c r="W17" s="33"/>
      <c r="X17" s="33"/>
      <c r="Y17" s="33"/>
      <c r="Z17" s="33"/>
      <c r="AA17" s="34" t="str">
        <f t="shared" si="1"/>
        <v/>
      </c>
      <c r="AB17" s="35" t="str">
        <f t="shared" si="2"/>
        <v/>
      </c>
      <c r="AC17" s="36" t="str">
        <f t="shared" si="3"/>
        <v/>
      </c>
      <c r="AD17" s="37" t="str">
        <f t="shared" si="4"/>
        <v/>
      </c>
      <c r="AE17" s="36" t="str">
        <f t="shared" si="5"/>
        <v/>
      </c>
      <c r="AF17" s="37" t="str">
        <f t="shared" si="6"/>
        <v/>
      </c>
      <c r="AG17" s="36" t="str">
        <f t="shared" si="7"/>
        <v/>
      </c>
      <c r="AH17" s="3" t="str">
        <f t="shared" si="8"/>
        <v/>
      </c>
      <c r="AK17" s="39" t="str">
        <f>IF($B$6&gt;13,"a14","")</f>
        <v/>
      </c>
      <c r="AL17" s="40" t="str">
        <f t="shared" si="9"/>
        <v/>
      </c>
      <c r="AM17" s="40" t="str">
        <f t="shared" si="10"/>
        <v/>
      </c>
      <c r="AN17" s="40" t="str">
        <f t="shared" si="11"/>
        <v/>
      </c>
      <c r="AO17" s="40" t="str">
        <f t="shared" si="12"/>
        <v/>
      </c>
      <c r="AP17" s="40" t="str">
        <f t="shared" si="13"/>
        <v/>
      </c>
      <c r="AQ17" s="40" t="str">
        <f t="shared" si="0"/>
        <v/>
      </c>
      <c r="AR17" s="40" t="str">
        <f t="shared" si="0"/>
        <v/>
      </c>
      <c r="AS17" s="40" t="str">
        <f t="shared" si="0"/>
        <v/>
      </c>
      <c r="AT17" s="40" t="str">
        <f t="shared" si="0"/>
        <v/>
      </c>
      <c r="AU17" s="40" t="str">
        <f t="shared" si="0"/>
        <v/>
      </c>
      <c r="AV17" s="40" t="str">
        <f t="shared" si="0"/>
        <v/>
      </c>
      <c r="AW17" s="40" t="str">
        <f t="shared" si="0"/>
        <v/>
      </c>
      <c r="AX17" s="40" t="str">
        <f t="shared" si="0"/>
        <v/>
      </c>
      <c r="AY17" s="40" t="str">
        <f t="shared" si="0"/>
        <v/>
      </c>
      <c r="AZ17" s="40" t="str">
        <f t="shared" si="0"/>
        <v/>
      </c>
      <c r="BA17" s="40" t="str">
        <f t="shared" si="0"/>
        <v/>
      </c>
      <c r="BB17" s="40" t="str">
        <f t="shared" si="0"/>
        <v/>
      </c>
      <c r="BC17" s="40" t="str">
        <f t="shared" si="0"/>
        <v/>
      </c>
      <c r="BD17" s="40" t="str">
        <f t="shared" si="0"/>
        <v/>
      </c>
      <c r="BE17" s="40" t="str">
        <f t="shared" si="0"/>
        <v/>
      </c>
      <c r="BF17" s="68" t="str">
        <f t="shared" si="14"/>
        <v/>
      </c>
      <c r="BG17" s="67"/>
    </row>
    <row r="18" spans="1:59" ht="12.95" customHeight="1" x14ac:dyDescent="0.25">
      <c r="A18" s="96" t="s">
        <v>38</v>
      </c>
      <c r="B18" s="89">
        <f>SUMPRODUCT(G2:Z2,G24:Z24)</f>
        <v>0.58000000000000007</v>
      </c>
      <c r="C18" s="52"/>
      <c r="D18" s="31"/>
      <c r="E18" s="6"/>
      <c r="F18" s="32" t="str">
        <f>IF($B$6&gt;14,"a15: ","")</f>
        <v/>
      </c>
      <c r="G18" s="33"/>
      <c r="H18" s="33"/>
      <c r="I18" s="33"/>
      <c r="J18" s="33"/>
      <c r="K18" s="33"/>
      <c r="L18" s="33"/>
      <c r="M18" s="33"/>
      <c r="N18" s="33"/>
      <c r="O18" s="33"/>
      <c r="P18" s="33"/>
      <c r="Q18" s="33"/>
      <c r="R18" s="33"/>
      <c r="S18" s="33"/>
      <c r="T18" s="33"/>
      <c r="U18" s="33"/>
      <c r="V18" s="33"/>
      <c r="W18" s="33"/>
      <c r="X18" s="33"/>
      <c r="Y18" s="33"/>
      <c r="Z18" s="33"/>
      <c r="AA18" s="34" t="str">
        <f t="shared" si="1"/>
        <v/>
      </c>
      <c r="AB18" s="35" t="str">
        <f t="shared" si="2"/>
        <v/>
      </c>
      <c r="AC18" s="36" t="str">
        <f t="shared" si="3"/>
        <v/>
      </c>
      <c r="AD18" s="37" t="str">
        <f t="shared" si="4"/>
        <v/>
      </c>
      <c r="AE18" s="36" t="str">
        <f t="shared" si="5"/>
        <v/>
      </c>
      <c r="AF18" s="37" t="str">
        <f t="shared" si="6"/>
        <v/>
      </c>
      <c r="AG18" s="36" t="str">
        <f t="shared" si="7"/>
        <v/>
      </c>
      <c r="AH18" s="3" t="str">
        <f t="shared" si="8"/>
        <v/>
      </c>
      <c r="AK18" s="39" t="str">
        <f>IF($B$6&gt;14,"a15","")</f>
        <v/>
      </c>
      <c r="AL18" s="40" t="str">
        <f t="shared" si="9"/>
        <v/>
      </c>
      <c r="AM18" s="40" t="str">
        <f t="shared" si="10"/>
        <v/>
      </c>
      <c r="AN18" s="40" t="str">
        <f t="shared" si="11"/>
        <v/>
      </c>
      <c r="AO18" s="40" t="str">
        <f t="shared" si="12"/>
        <v/>
      </c>
      <c r="AP18" s="40" t="str">
        <f t="shared" si="13"/>
        <v/>
      </c>
      <c r="AQ18" s="40" t="str">
        <f t="shared" si="0"/>
        <v/>
      </c>
      <c r="AR18" s="40" t="str">
        <f t="shared" si="0"/>
        <v/>
      </c>
      <c r="AS18" s="40" t="str">
        <f t="shared" si="0"/>
        <v/>
      </c>
      <c r="AT18" s="40" t="str">
        <f t="shared" si="0"/>
        <v/>
      </c>
      <c r="AU18" s="40" t="str">
        <f t="shared" si="0"/>
        <v/>
      </c>
      <c r="AV18" s="40" t="str">
        <f t="shared" si="0"/>
        <v/>
      </c>
      <c r="AW18" s="40" t="str">
        <f t="shared" si="0"/>
        <v/>
      </c>
      <c r="AX18" s="40" t="str">
        <f t="shared" si="0"/>
        <v/>
      </c>
      <c r="AY18" s="40" t="str">
        <f t="shared" si="0"/>
        <v/>
      </c>
      <c r="AZ18" s="40" t="str">
        <f t="shared" si="0"/>
        <v/>
      </c>
      <c r="BA18" s="40" t="str">
        <f t="shared" si="0"/>
        <v/>
      </c>
      <c r="BB18" s="40" t="str">
        <f t="shared" si="0"/>
        <v/>
      </c>
      <c r="BC18" s="40" t="str">
        <f t="shared" si="0"/>
        <v/>
      </c>
      <c r="BD18" s="40" t="str">
        <f t="shared" si="0"/>
        <v/>
      </c>
      <c r="BE18" s="40" t="str">
        <f t="shared" si="0"/>
        <v/>
      </c>
      <c r="BF18" s="70" t="str">
        <f t="shared" si="14"/>
        <v/>
      </c>
      <c r="BG18" s="67"/>
    </row>
    <row r="19" spans="1:59" ht="12.95" customHeight="1" x14ac:dyDescent="0.25">
      <c r="A19" s="97" t="s">
        <v>39</v>
      </c>
      <c r="B19" s="90"/>
      <c r="C19" s="31"/>
      <c r="D19" s="31"/>
      <c r="E19" s="6"/>
      <c r="F19" s="32" t="str">
        <f>IF($B$6&gt;15,"a16: ","")</f>
        <v/>
      </c>
      <c r="G19" s="33"/>
      <c r="H19" s="33"/>
      <c r="I19" s="33"/>
      <c r="J19" s="33"/>
      <c r="K19" s="33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  <c r="AA19" s="34" t="str">
        <f t="shared" si="1"/>
        <v/>
      </c>
      <c r="AB19" s="35" t="str">
        <f t="shared" si="2"/>
        <v/>
      </c>
      <c r="AC19" s="36" t="str">
        <f t="shared" si="3"/>
        <v/>
      </c>
      <c r="AD19" s="37" t="str">
        <f t="shared" si="4"/>
        <v/>
      </c>
      <c r="AE19" s="36" t="str">
        <f t="shared" si="5"/>
        <v/>
      </c>
      <c r="AF19" s="37" t="str">
        <f t="shared" si="6"/>
        <v/>
      </c>
      <c r="AG19" s="36" t="str">
        <f t="shared" si="7"/>
        <v/>
      </c>
      <c r="AH19" s="3" t="str">
        <f t="shared" si="8"/>
        <v/>
      </c>
      <c r="AK19" s="39" t="str">
        <f>IF($B$6&gt;15,"a16","")</f>
        <v/>
      </c>
      <c r="AL19" s="40" t="str">
        <f t="shared" si="9"/>
        <v/>
      </c>
      <c r="AM19" s="40" t="str">
        <f t="shared" si="10"/>
        <v/>
      </c>
      <c r="AN19" s="40" t="str">
        <f t="shared" si="11"/>
        <v/>
      </c>
      <c r="AO19" s="40" t="str">
        <f t="shared" si="12"/>
        <v/>
      </c>
      <c r="AP19" s="40" t="str">
        <f t="shared" si="13"/>
        <v/>
      </c>
      <c r="AQ19" s="40" t="str">
        <f t="shared" si="0"/>
        <v/>
      </c>
      <c r="AR19" s="40" t="str">
        <f t="shared" si="0"/>
        <v/>
      </c>
      <c r="AS19" s="40" t="str">
        <f t="shared" si="0"/>
        <v/>
      </c>
      <c r="AT19" s="40" t="str">
        <f t="shared" si="0"/>
        <v/>
      </c>
      <c r="AU19" s="40" t="str">
        <f t="shared" si="0"/>
        <v/>
      </c>
      <c r="AV19" s="40" t="str">
        <f t="shared" si="0"/>
        <v/>
      </c>
      <c r="AW19" s="40" t="str">
        <f t="shared" si="0"/>
        <v/>
      </c>
      <c r="AX19" s="40" t="str">
        <f t="shared" si="0"/>
        <v/>
      </c>
      <c r="AY19" s="40" t="str">
        <f t="shared" si="0"/>
        <v/>
      </c>
      <c r="AZ19" s="40" t="str">
        <f t="shared" si="0"/>
        <v/>
      </c>
      <c r="BA19" s="40" t="str">
        <f t="shared" si="0"/>
        <v/>
      </c>
      <c r="BB19" s="40" t="str">
        <f t="shared" si="0"/>
        <v/>
      </c>
      <c r="BC19" s="40" t="str">
        <f t="shared" si="0"/>
        <v/>
      </c>
      <c r="BD19" s="40" t="str">
        <f t="shared" si="0"/>
        <v/>
      </c>
      <c r="BE19" s="40" t="str">
        <f t="shared" si="0"/>
        <v/>
      </c>
      <c r="BF19" s="68" t="str">
        <f t="shared" si="14"/>
        <v/>
      </c>
      <c r="BG19" s="67"/>
    </row>
    <row r="20" spans="1:59" ht="12.95" customHeight="1" x14ac:dyDescent="0.25">
      <c r="A20" s="98" t="s">
        <v>40</v>
      </c>
      <c r="B20" s="91">
        <f ca="1">B18-B14</f>
        <v>0.56000000000000005</v>
      </c>
      <c r="C20" s="41"/>
      <c r="D20" s="41"/>
      <c r="E20" s="6"/>
      <c r="F20" s="32" t="str">
        <f>IF($B$6&gt;16,"a17: ","")</f>
        <v/>
      </c>
      <c r="G20" s="33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4" t="str">
        <f t="shared" si="1"/>
        <v/>
      </c>
      <c r="AB20" s="35" t="str">
        <f t="shared" si="2"/>
        <v/>
      </c>
      <c r="AC20" s="36" t="str">
        <f t="shared" si="3"/>
        <v/>
      </c>
      <c r="AD20" s="37" t="str">
        <f t="shared" si="4"/>
        <v/>
      </c>
      <c r="AE20" s="36" t="str">
        <f t="shared" si="5"/>
        <v/>
      </c>
      <c r="AF20" s="37" t="str">
        <f t="shared" si="6"/>
        <v/>
      </c>
      <c r="AG20" s="36" t="str">
        <f t="shared" si="7"/>
        <v/>
      </c>
      <c r="AH20" s="3" t="str">
        <f t="shared" si="8"/>
        <v/>
      </c>
      <c r="AK20" s="39" t="str">
        <f>IF($B$6&gt;16,"a17","")</f>
        <v/>
      </c>
      <c r="AL20" s="40" t="str">
        <f t="shared" si="9"/>
        <v/>
      </c>
      <c r="AM20" s="40" t="str">
        <f t="shared" si="10"/>
        <v/>
      </c>
      <c r="AN20" s="40" t="str">
        <f t="shared" si="11"/>
        <v/>
      </c>
      <c r="AO20" s="40" t="str">
        <f t="shared" si="12"/>
        <v/>
      </c>
      <c r="AP20" s="40" t="str">
        <f t="shared" si="13"/>
        <v/>
      </c>
      <c r="AQ20" s="40" t="str">
        <f t="shared" ref="AQ20:BE23" si="15">IF(L20&lt;&gt;"",AQ$24-L20,"")</f>
        <v/>
      </c>
      <c r="AR20" s="40" t="str">
        <f t="shared" si="15"/>
        <v/>
      </c>
      <c r="AS20" s="40" t="str">
        <f t="shared" si="15"/>
        <v/>
      </c>
      <c r="AT20" s="40" t="str">
        <f t="shared" si="15"/>
        <v/>
      </c>
      <c r="AU20" s="40" t="str">
        <f t="shared" si="15"/>
        <v/>
      </c>
      <c r="AV20" s="40" t="str">
        <f t="shared" si="15"/>
        <v/>
      </c>
      <c r="AW20" s="40" t="str">
        <f t="shared" si="15"/>
        <v/>
      </c>
      <c r="AX20" s="40" t="str">
        <f t="shared" si="15"/>
        <v/>
      </c>
      <c r="AY20" s="40" t="str">
        <f t="shared" si="15"/>
        <v/>
      </c>
      <c r="AZ20" s="40" t="str">
        <f t="shared" si="15"/>
        <v/>
      </c>
      <c r="BA20" s="40" t="str">
        <f t="shared" si="15"/>
        <v/>
      </c>
      <c r="BB20" s="40" t="str">
        <f t="shared" si="15"/>
        <v/>
      </c>
      <c r="BC20" s="40" t="str">
        <f t="shared" si="15"/>
        <v/>
      </c>
      <c r="BD20" s="40" t="str">
        <f t="shared" si="15"/>
        <v/>
      </c>
      <c r="BE20" s="40" t="str">
        <f t="shared" si="15"/>
        <v/>
      </c>
      <c r="BF20" s="70" t="str">
        <f t="shared" si="14"/>
        <v/>
      </c>
      <c r="BG20" s="67"/>
    </row>
    <row r="21" spans="1:59" ht="12.95" customHeight="1" x14ac:dyDescent="0.25">
      <c r="A21" s="99" t="s">
        <v>41</v>
      </c>
      <c r="B21" s="90"/>
      <c r="C21" s="41"/>
      <c r="D21" s="41"/>
      <c r="E21" s="6"/>
      <c r="F21" s="32" t="str">
        <f>IF($B$6&gt;17,"a18: ","")</f>
        <v/>
      </c>
      <c r="G21" s="33"/>
      <c r="H21" s="33"/>
      <c r="I21" s="33"/>
      <c r="J21" s="33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  <c r="AA21" s="34" t="str">
        <f t="shared" si="1"/>
        <v/>
      </c>
      <c r="AB21" s="35" t="str">
        <f t="shared" si="2"/>
        <v/>
      </c>
      <c r="AC21" s="36" t="str">
        <f t="shared" si="3"/>
        <v/>
      </c>
      <c r="AD21" s="37" t="str">
        <f t="shared" si="4"/>
        <v/>
      </c>
      <c r="AE21" s="36" t="str">
        <f t="shared" si="5"/>
        <v/>
      </c>
      <c r="AF21" s="37" t="str">
        <f t="shared" si="6"/>
        <v/>
      </c>
      <c r="AG21" s="36" t="str">
        <f t="shared" si="7"/>
        <v/>
      </c>
      <c r="AH21" s="3" t="str">
        <f t="shared" si="8"/>
        <v/>
      </c>
      <c r="AK21" s="39" t="str">
        <f>IF($B$6&gt;17,"a18","")</f>
        <v/>
      </c>
      <c r="AL21" s="40" t="str">
        <f t="shared" si="9"/>
        <v/>
      </c>
      <c r="AM21" s="40" t="str">
        <f t="shared" si="10"/>
        <v/>
      </c>
      <c r="AN21" s="40" t="str">
        <f t="shared" si="11"/>
        <v/>
      </c>
      <c r="AO21" s="40" t="str">
        <f t="shared" si="12"/>
        <v/>
      </c>
      <c r="AP21" s="40" t="str">
        <f t="shared" si="13"/>
        <v/>
      </c>
      <c r="AQ21" s="40" t="str">
        <f t="shared" si="15"/>
        <v/>
      </c>
      <c r="AR21" s="40" t="str">
        <f t="shared" si="15"/>
        <v/>
      </c>
      <c r="AS21" s="40" t="str">
        <f t="shared" si="15"/>
        <v/>
      </c>
      <c r="AT21" s="40" t="str">
        <f t="shared" si="15"/>
        <v/>
      </c>
      <c r="AU21" s="40" t="str">
        <f t="shared" si="15"/>
        <v/>
      </c>
      <c r="AV21" s="40" t="str">
        <f t="shared" si="15"/>
        <v/>
      </c>
      <c r="AW21" s="40" t="str">
        <f t="shared" si="15"/>
        <v/>
      </c>
      <c r="AX21" s="40" t="str">
        <f t="shared" si="15"/>
        <v/>
      </c>
      <c r="AY21" s="40" t="str">
        <f t="shared" si="15"/>
        <v/>
      </c>
      <c r="AZ21" s="40" t="str">
        <f t="shared" si="15"/>
        <v/>
      </c>
      <c r="BA21" s="40" t="str">
        <f t="shared" si="15"/>
        <v/>
      </c>
      <c r="BB21" s="40" t="str">
        <f t="shared" si="15"/>
        <v/>
      </c>
      <c r="BC21" s="40" t="str">
        <f t="shared" si="15"/>
        <v/>
      </c>
      <c r="BD21" s="40" t="str">
        <f t="shared" si="15"/>
        <v/>
      </c>
      <c r="BE21" s="40" t="str">
        <f t="shared" si="15"/>
        <v/>
      </c>
      <c r="BF21" s="68" t="str">
        <f t="shared" si="14"/>
        <v/>
      </c>
      <c r="BG21" s="67"/>
    </row>
    <row r="22" spans="1:59" ht="12.95" customHeight="1" x14ac:dyDescent="0.25">
      <c r="A22" s="100" t="s">
        <v>42</v>
      </c>
      <c r="B22" s="91">
        <f ca="1">B14</f>
        <v>2.0000000000000018E-2</v>
      </c>
      <c r="C22" s="31"/>
      <c r="D22" s="31"/>
      <c r="E22" s="6"/>
      <c r="F22" s="32" t="str">
        <f>IF($B$6&gt;18,"a19: ","")</f>
        <v/>
      </c>
      <c r="G22" s="33"/>
      <c r="H22" s="33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4" t="str">
        <f t="shared" si="1"/>
        <v/>
      </c>
      <c r="AB22" s="35" t="str">
        <f t="shared" si="2"/>
        <v/>
      </c>
      <c r="AC22" s="36" t="str">
        <f t="shared" si="3"/>
        <v/>
      </c>
      <c r="AD22" s="37" t="str">
        <f t="shared" si="4"/>
        <v/>
      </c>
      <c r="AE22" s="36" t="str">
        <f t="shared" si="5"/>
        <v/>
      </c>
      <c r="AF22" s="37" t="str">
        <f t="shared" si="6"/>
        <v/>
      </c>
      <c r="AG22" s="36" t="str">
        <f t="shared" si="7"/>
        <v/>
      </c>
      <c r="AH22" s="3" t="str">
        <f t="shared" si="8"/>
        <v/>
      </c>
      <c r="AK22" s="39" t="str">
        <f>IF($B$6&gt;18,"a19","")</f>
        <v/>
      </c>
      <c r="AL22" s="40" t="str">
        <f t="shared" si="9"/>
        <v/>
      </c>
      <c r="AM22" s="40" t="str">
        <f t="shared" si="10"/>
        <v/>
      </c>
      <c r="AN22" s="40" t="str">
        <f t="shared" si="11"/>
        <v/>
      </c>
      <c r="AO22" s="40" t="str">
        <f t="shared" si="12"/>
        <v/>
      </c>
      <c r="AP22" s="40" t="str">
        <f t="shared" si="13"/>
        <v/>
      </c>
      <c r="AQ22" s="40" t="str">
        <f t="shared" si="15"/>
        <v/>
      </c>
      <c r="AR22" s="40" t="str">
        <f t="shared" si="15"/>
        <v/>
      </c>
      <c r="AS22" s="40" t="str">
        <f t="shared" si="15"/>
        <v/>
      </c>
      <c r="AT22" s="40" t="str">
        <f t="shared" si="15"/>
        <v/>
      </c>
      <c r="AU22" s="40" t="str">
        <f t="shared" si="15"/>
        <v/>
      </c>
      <c r="AV22" s="40" t="str">
        <f t="shared" si="15"/>
        <v/>
      </c>
      <c r="AW22" s="40" t="str">
        <f t="shared" si="15"/>
        <v/>
      </c>
      <c r="AX22" s="40" t="str">
        <f t="shared" si="15"/>
        <v/>
      </c>
      <c r="AY22" s="40" t="str">
        <f t="shared" si="15"/>
        <v/>
      </c>
      <c r="AZ22" s="40" t="str">
        <f t="shared" si="15"/>
        <v/>
      </c>
      <c r="BA22" s="40" t="str">
        <f t="shared" si="15"/>
        <v/>
      </c>
      <c r="BB22" s="40" t="str">
        <f t="shared" si="15"/>
        <v/>
      </c>
      <c r="BC22" s="40" t="str">
        <f t="shared" si="15"/>
        <v/>
      </c>
      <c r="BD22" s="40" t="str">
        <f t="shared" si="15"/>
        <v/>
      </c>
      <c r="BE22" s="40" t="str">
        <f t="shared" si="15"/>
        <v/>
      </c>
      <c r="BF22" s="68" t="str">
        <f t="shared" si="14"/>
        <v/>
      </c>
      <c r="BG22" s="67"/>
    </row>
    <row r="23" spans="1:59" ht="12.95" customHeight="1" thickBot="1" x14ac:dyDescent="0.3">
      <c r="A23" s="97" t="s">
        <v>43</v>
      </c>
      <c r="B23" s="90"/>
      <c r="C23" s="31"/>
      <c r="D23" s="31"/>
      <c r="E23" s="53"/>
      <c r="F23" s="32" t="str">
        <f>IF($B$6&gt;19,"a20: ","")</f>
        <v/>
      </c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4" t="str">
        <f t="shared" si="1"/>
        <v/>
      </c>
      <c r="AB23" s="35" t="str">
        <f t="shared" si="2"/>
        <v/>
      </c>
      <c r="AC23" s="36" t="str">
        <f t="shared" si="3"/>
        <v/>
      </c>
      <c r="AD23" s="37" t="str">
        <f t="shared" si="4"/>
        <v/>
      </c>
      <c r="AE23" s="36" t="str">
        <f t="shared" si="5"/>
        <v/>
      </c>
      <c r="AF23" s="37" t="str">
        <f t="shared" si="6"/>
        <v/>
      </c>
      <c r="AG23" s="36" t="str">
        <f t="shared" si="7"/>
        <v/>
      </c>
      <c r="AH23" s="3" t="str">
        <f t="shared" si="8"/>
        <v/>
      </c>
      <c r="AK23" s="39" t="str">
        <f>IF($B$6&gt;19,"a20","")</f>
        <v/>
      </c>
      <c r="AL23" s="61" t="str">
        <f t="shared" si="9"/>
        <v/>
      </c>
      <c r="AM23" s="62" t="str">
        <f t="shared" si="10"/>
        <v/>
      </c>
      <c r="AN23" s="62" t="str">
        <f t="shared" si="11"/>
        <v/>
      </c>
      <c r="AO23" s="62" t="str">
        <f t="shared" si="12"/>
        <v/>
      </c>
      <c r="AP23" s="62" t="str">
        <f t="shared" si="13"/>
        <v/>
      </c>
      <c r="AQ23" s="62" t="str">
        <f t="shared" si="15"/>
        <v/>
      </c>
      <c r="AR23" s="62" t="str">
        <f t="shared" si="15"/>
        <v/>
      </c>
      <c r="AS23" s="62" t="str">
        <f t="shared" si="15"/>
        <v/>
      </c>
      <c r="AT23" s="62" t="str">
        <f t="shared" si="15"/>
        <v/>
      </c>
      <c r="AU23" s="62" t="str">
        <f t="shared" si="15"/>
        <v/>
      </c>
      <c r="AV23" s="62" t="str">
        <f t="shared" si="15"/>
        <v/>
      </c>
      <c r="AW23" s="62" t="str">
        <f t="shared" si="15"/>
        <v/>
      </c>
      <c r="AX23" s="62" t="str">
        <f t="shared" si="15"/>
        <v/>
      </c>
      <c r="AY23" s="62" t="str">
        <f t="shared" si="15"/>
        <v/>
      </c>
      <c r="AZ23" s="62" t="str">
        <f t="shared" si="15"/>
        <v/>
      </c>
      <c r="BA23" s="62" t="str">
        <f t="shared" si="15"/>
        <v/>
      </c>
      <c r="BB23" s="62" t="str">
        <f t="shared" si="15"/>
        <v/>
      </c>
      <c r="BC23" s="62" t="str">
        <f t="shared" si="15"/>
        <v/>
      </c>
      <c r="BD23" s="62" t="str">
        <f t="shared" si="15"/>
        <v/>
      </c>
      <c r="BE23" s="62" t="str">
        <f t="shared" si="15"/>
        <v/>
      </c>
      <c r="BF23" s="68" t="str">
        <f t="shared" si="14"/>
        <v/>
      </c>
      <c r="BG23" s="67"/>
    </row>
    <row r="24" spans="1:59" ht="12.95" customHeight="1" thickBot="1" x14ac:dyDescent="0.3">
      <c r="A24" s="87" t="str" cm="1">
        <f t="array" aca="1" ref="A24" ca="1">HYPERLINK("#"&amp;CELL("direccion",INDEX($BF$1:$BF$23,1,1)),"Ver MATRIZ DE ARREP. y VECTOR J ("&amp;$B$5+1&amp;")")</f>
        <v>Ver MATRIZ DE ARREP. y VECTOR J (5)</v>
      </c>
      <c r="B24" s="95"/>
      <c r="C24" s="88"/>
      <c r="D24" s="31"/>
      <c r="E24" s="54" t="s">
        <v>44</v>
      </c>
      <c r="F24" s="31"/>
      <c r="G24" s="55">
        <f>IF(G3="","",MAX(G4:G23))</f>
        <v>2.5</v>
      </c>
      <c r="H24" s="55">
        <f t="shared" ref="H24:Z24" si="16">IF(H3="","",MAX(H4:H23))</f>
        <v>0.4</v>
      </c>
      <c r="I24" s="55">
        <f t="shared" si="16"/>
        <v>0</v>
      </c>
      <c r="J24" s="55">
        <f t="shared" si="16"/>
        <v>0</v>
      </c>
      <c r="K24" s="55" t="str">
        <f t="shared" si="16"/>
        <v/>
      </c>
      <c r="L24" s="55" t="str">
        <f t="shared" si="16"/>
        <v/>
      </c>
      <c r="M24" s="55" t="str">
        <f t="shared" si="16"/>
        <v/>
      </c>
      <c r="N24" s="55" t="str">
        <f t="shared" si="16"/>
        <v/>
      </c>
      <c r="O24" s="55" t="str">
        <f t="shared" si="16"/>
        <v/>
      </c>
      <c r="P24" s="55" t="str">
        <f t="shared" si="16"/>
        <v/>
      </c>
      <c r="Q24" s="55" t="str">
        <f t="shared" si="16"/>
        <v/>
      </c>
      <c r="R24" s="55" t="str">
        <f t="shared" si="16"/>
        <v/>
      </c>
      <c r="S24" s="55" t="str">
        <f t="shared" si="16"/>
        <v/>
      </c>
      <c r="T24" s="55" t="str">
        <f t="shared" si="16"/>
        <v/>
      </c>
      <c r="U24" s="55" t="str">
        <f t="shared" si="16"/>
        <v/>
      </c>
      <c r="V24" s="55" t="str">
        <f t="shared" si="16"/>
        <v/>
      </c>
      <c r="W24" s="55" t="str">
        <f t="shared" si="16"/>
        <v/>
      </c>
      <c r="X24" s="55" t="str">
        <f t="shared" si="16"/>
        <v/>
      </c>
      <c r="Y24" s="55" t="str">
        <f t="shared" si="16"/>
        <v/>
      </c>
      <c r="Z24" s="55" t="str">
        <f t="shared" si="16"/>
        <v/>
      </c>
      <c r="AK24" s="72"/>
      <c r="AL24" s="71">
        <f>IF(G24="","",G24)</f>
        <v>2.5</v>
      </c>
      <c r="AM24" s="73">
        <f t="shared" ref="AM24:BE24" si="17">IF(H24="","",H24)</f>
        <v>0.4</v>
      </c>
      <c r="AN24" s="73">
        <f t="shared" si="17"/>
        <v>0</v>
      </c>
      <c r="AO24" s="73">
        <f t="shared" si="17"/>
        <v>0</v>
      </c>
      <c r="AP24" s="74" t="str">
        <f t="shared" si="17"/>
        <v/>
      </c>
      <c r="AQ24" s="71" t="str">
        <f t="shared" si="17"/>
        <v/>
      </c>
      <c r="AR24" s="73" t="str">
        <f t="shared" si="17"/>
        <v/>
      </c>
      <c r="AS24" s="73" t="str">
        <f t="shared" si="17"/>
        <v/>
      </c>
      <c r="AT24" s="73" t="str">
        <f t="shared" si="17"/>
        <v/>
      </c>
      <c r="AU24" s="74" t="str">
        <f t="shared" si="17"/>
        <v/>
      </c>
      <c r="AV24" s="71" t="str">
        <f t="shared" si="17"/>
        <v/>
      </c>
      <c r="AW24" s="73" t="str">
        <f t="shared" si="17"/>
        <v/>
      </c>
      <c r="AX24" s="73" t="str">
        <f t="shared" si="17"/>
        <v/>
      </c>
      <c r="AY24" s="73" t="str">
        <f t="shared" si="17"/>
        <v/>
      </c>
      <c r="AZ24" s="73" t="str">
        <f t="shared" si="17"/>
        <v/>
      </c>
      <c r="BA24" s="74" t="str">
        <f t="shared" si="17"/>
        <v/>
      </c>
      <c r="BB24" s="71" t="str">
        <f t="shared" si="17"/>
        <v/>
      </c>
      <c r="BC24" s="73" t="str">
        <f t="shared" si="17"/>
        <v/>
      </c>
      <c r="BD24" s="73" t="str">
        <f t="shared" si="17"/>
        <v/>
      </c>
      <c r="BE24" s="73" t="str">
        <f t="shared" si="17"/>
        <v/>
      </c>
      <c r="BF24" s="76"/>
    </row>
    <row r="25" spans="1:59" ht="15.75" thickBot="1" x14ac:dyDescent="0.3">
      <c r="A25" s="92"/>
      <c r="B25" s="93"/>
      <c r="C25" s="94"/>
      <c r="D25" s="106" t="s">
        <v>45</v>
      </c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  <c r="Y25" s="107"/>
      <c r="Z25" s="107"/>
      <c r="BC25" s="75"/>
    </row>
    <row r="26" spans="1:59" x14ac:dyDescent="0.25">
      <c r="A26" s="56" t="s">
        <v>64</v>
      </c>
      <c r="B26" s="57"/>
      <c r="C26" s="57"/>
    </row>
    <row r="79" spans="1:18" ht="15.75" thickBot="1" x14ac:dyDescent="0.3">
      <c r="A79" s="79"/>
      <c r="B79" s="80"/>
      <c r="C79" s="80"/>
      <c r="D79" s="80"/>
      <c r="E79" s="80"/>
      <c r="F79" s="80"/>
      <c r="G79" s="80"/>
      <c r="H79" s="79"/>
      <c r="I79" s="79"/>
      <c r="J79" s="79"/>
      <c r="K79" s="79"/>
      <c r="L79" s="79"/>
      <c r="M79" s="79"/>
      <c r="N79" s="79"/>
      <c r="O79" s="79"/>
      <c r="P79" s="79"/>
      <c r="Q79" s="79"/>
      <c r="R79" s="79"/>
    </row>
    <row r="80" spans="1:18" ht="15.75" customHeight="1" thickBot="1" x14ac:dyDescent="0.3">
      <c r="A80" s="79"/>
      <c r="B80" s="105" t="s">
        <v>47</v>
      </c>
      <c r="C80" s="105"/>
      <c r="D80" s="105"/>
      <c r="E80" s="105"/>
      <c r="F80" s="105"/>
      <c r="G80" s="44" t="s">
        <v>68</v>
      </c>
      <c r="H80" s="44"/>
      <c r="Q80" s="81" t="str" cm="1">
        <f t="array" aca="1" ref="Q80" ca="1">HYPERLINK("#"&amp;CELL("direccion",INDEX(TomaDec!$A$1,1,1)),"VOLVER")</f>
        <v>VOLVER</v>
      </c>
      <c r="R80" s="79"/>
    </row>
    <row r="81" spans="1:18" ht="15" customHeight="1" x14ac:dyDescent="0.3">
      <c r="A81" s="79"/>
      <c r="B81" s="83" t="s">
        <v>0</v>
      </c>
      <c r="C81" s="83"/>
      <c r="D81" s="83"/>
      <c r="E81" s="83"/>
      <c r="F81" s="83"/>
      <c r="G81" s="83"/>
      <c r="H81" s="83"/>
      <c r="I81" s="83"/>
      <c r="J81" s="83"/>
      <c r="K81" s="83"/>
      <c r="L81" s="83"/>
      <c r="M81" s="83"/>
      <c r="N81" s="83"/>
      <c r="O81" s="83"/>
      <c r="P81" s="83"/>
      <c r="Q81" s="82"/>
      <c r="R81" s="79"/>
    </row>
    <row r="82" spans="1:18" ht="15" customHeight="1" x14ac:dyDescent="0.25">
      <c r="A82" s="79"/>
      <c r="B82"/>
      <c r="H82" s="44"/>
      <c r="R82" s="79"/>
    </row>
    <row r="83" spans="1:18" ht="15" customHeight="1" x14ac:dyDescent="0.25">
      <c r="A83" s="79"/>
      <c r="B83"/>
      <c r="H83" s="44"/>
      <c r="R83" s="79"/>
    </row>
    <row r="84" spans="1:18" ht="15" customHeight="1" x14ac:dyDescent="0.25">
      <c r="A84" s="79"/>
      <c r="B84"/>
      <c r="H84" s="44"/>
      <c r="R84" s="79"/>
    </row>
    <row r="85" spans="1:18" x14ac:dyDescent="0.25">
      <c r="A85" s="79"/>
      <c r="B85"/>
      <c r="H85" s="44"/>
      <c r="R85" s="79"/>
    </row>
    <row r="86" spans="1:18" x14ac:dyDescent="0.25">
      <c r="A86" s="79"/>
      <c r="B86"/>
      <c r="H86" s="44"/>
      <c r="R86" s="79"/>
    </row>
    <row r="87" spans="1:18" x14ac:dyDescent="0.25">
      <c r="A87" s="79"/>
      <c r="B87"/>
      <c r="H87" s="44"/>
      <c r="R87" s="79"/>
    </row>
    <row r="88" spans="1:18" x14ac:dyDescent="0.25">
      <c r="A88" s="79"/>
      <c r="B88"/>
      <c r="H88" s="44"/>
      <c r="R88" s="79"/>
    </row>
    <row r="89" spans="1:18" x14ac:dyDescent="0.25">
      <c r="A89" s="79"/>
      <c r="B89"/>
      <c r="H89" s="44"/>
      <c r="R89" s="79"/>
    </row>
    <row r="90" spans="1:18" x14ac:dyDescent="0.25">
      <c r="A90" s="79"/>
      <c r="B90"/>
      <c r="H90" s="44"/>
      <c r="R90" s="79"/>
    </row>
    <row r="91" spans="1:18" x14ac:dyDescent="0.25">
      <c r="A91" s="79"/>
      <c r="B91"/>
      <c r="H91" s="44"/>
      <c r="R91" s="79"/>
    </row>
    <row r="92" spans="1:18" x14ac:dyDescent="0.25">
      <c r="A92" s="79"/>
      <c r="B92"/>
      <c r="H92" s="44"/>
      <c r="R92" s="79"/>
    </row>
    <row r="93" spans="1:18" x14ac:dyDescent="0.25">
      <c r="A93" s="79"/>
      <c r="B93"/>
      <c r="H93" s="44"/>
      <c r="R93" s="79"/>
    </row>
    <row r="94" spans="1:18" x14ac:dyDescent="0.25">
      <c r="A94" s="79"/>
      <c r="B94" t="s">
        <v>48</v>
      </c>
      <c r="H94" s="44"/>
      <c r="R94" s="79"/>
    </row>
    <row r="95" spans="1:18" x14ac:dyDescent="0.25">
      <c r="A95" s="79"/>
      <c r="B95" t="s">
        <v>53</v>
      </c>
      <c r="H95" s="44"/>
      <c r="R95" s="79"/>
    </row>
    <row r="96" spans="1:18" x14ac:dyDescent="0.25">
      <c r="A96" s="79"/>
      <c r="B96" t="s">
        <v>55</v>
      </c>
      <c r="H96" s="44"/>
      <c r="R96" s="79"/>
    </row>
    <row r="97" spans="1:18" x14ac:dyDescent="0.25">
      <c r="A97" s="79"/>
      <c r="B97" t="s">
        <v>56</v>
      </c>
      <c r="H97" s="44"/>
      <c r="R97" s="79"/>
    </row>
    <row r="98" spans="1:18" x14ac:dyDescent="0.25">
      <c r="A98" s="79"/>
      <c r="B98" t="s">
        <v>57</v>
      </c>
      <c r="H98" s="44"/>
      <c r="R98" s="79"/>
    </row>
    <row r="99" spans="1:18" x14ac:dyDescent="0.25">
      <c r="A99" s="79"/>
      <c r="B99" t="s">
        <v>58</v>
      </c>
      <c r="H99" s="44"/>
      <c r="R99" s="79"/>
    </row>
    <row r="100" spans="1:18" x14ac:dyDescent="0.25">
      <c r="A100" s="79"/>
      <c r="B100" t="s">
        <v>59</v>
      </c>
      <c r="H100" s="44"/>
      <c r="R100" s="79"/>
    </row>
    <row r="101" spans="1:18" x14ac:dyDescent="0.25">
      <c r="A101" s="79"/>
      <c r="B101" t="s">
        <v>50</v>
      </c>
      <c r="H101" s="44"/>
      <c r="R101" s="79"/>
    </row>
    <row r="102" spans="1:18" x14ac:dyDescent="0.25">
      <c r="A102" s="79"/>
      <c r="B102" t="s">
        <v>51</v>
      </c>
      <c r="H102" s="44"/>
      <c r="R102" s="79"/>
    </row>
    <row r="103" spans="1:18" x14ac:dyDescent="0.25">
      <c r="A103" s="79"/>
      <c r="B103" t="s">
        <v>49</v>
      </c>
      <c r="H103" s="44"/>
      <c r="R103" s="79"/>
    </row>
    <row r="104" spans="1:18" x14ac:dyDescent="0.25">
      <c r="A104" s="79"/>
      <c r="B104" t="s">
        <v>54</v>
      </c>
      <c r="H104" s="44"/>
      <c r="R104" s="79"/>
    </row>
    <row r="105" spans="1:18" x14ac:dyDescent="0.25">
      <c r="A105" s="79"/>
      <c r="B105"/>
      <c r="H105" s="44"/>
      <c r="R105" s="79"/>
    </row>
    <row r="106" spans="1:18" ht="15.75" thickBot="1" x14ac:dyDescent="0.3">
      <c r="A106" s="79"/>
      <c r="B106"/>
      <c r="H106" s="44"/>
      <c r="R106" s="79"/>
    </row>
    <row r="107" spans="1:18" ht="15.75" thickBot="1" x14ac:dyDescent="0.3">
      <c r="A107" s="79"/>
      <c r="B107"/>
      <c r="H107" s="44"/>
      <c r="R107" s="81" t="str" cm="1">
        <f t="array" aca="1" ref="R107" ca="1">HYPERLINK("#"&amp;CELL("direccion",INDEX(TomaDec!$A$1,1,1)),"VOLVER")</f>
        <v>VOLVER</v>
      </c>
    </row>
    <row r="108" spans="1:18" x14ac:dyDescent="0.25">
      <c r="A108" s="79"/>
      <c r="B108"/>
      <c r="H108" s="44"/>
      <c r="R108" s="79"/>
    </row>
    <row r="109" spans="1:18" x14ac:dyDescent="0.25">
      <c r="A109" s="79"/>
      <c r="B109"/>
      <c r="H109" s="44"/>
      <c r="R109" s="79"/>
    </row>
    <row r="110" spans="1:18" x14ac:dyDescent="0.25">
      <c r="A110" s="79"/>
      <c r="B110" t="s">
        <v>52</v>
      </c>
      <c r="H110" s="44"/>
      <c r="R110" s="79"/>
    </row>
    <row r="111" spans="1:18" x14ac:dyDescent="0.25">
      <c r="A111" s="79"/>
      <c r="B111" t="s">
        <v>60</v>
      </c>
      <c r="H111" s="44"/>
      <c r="R111" s="79"/>
    </row>
    <row r="112" spans="1:18" x14ac:dyDescent="0.25">
      <c r="A112" s="79"/>
      <c r="B112" t="s">
        <v>61</v>
      </c>
      <c r="H112" s="44"/>
      <c r="R112" s="79"/>
    </row>
    <row r="113" spans="1:18" x14ac:dyDescent="0.25">
      <c r="A113" s="79"/>
      <c r="B113"/>
      <c r="H113" s="44"/>
      <c r="R113" s="79"/>
    </row>
    <row r="114" spans="1:18" x14ac:dyDescent="0.25">
      <c r="A114" s="79"/>
      <c r="B114"/>
      <c r="H114" s="44"/>
      <c r="R114" s="79"/>
    </row>
    <row r="115" spans="1:18" x14ac:dyDescent="0.25">
      <c r="A115" s="79"/>
      <c r="B115"/>
      <c r="H115" s="44"/>
      <c r="R115" s="79"/>
    </row>
    <row r="116" spans="1:18" x14ac:dyDescent="0.25">
      <c r="A116" s="79"/>
      <c r="B116"/>
      <c r="H116" s="44"/>
      <c r="R116" s="79"/>
    </row>
    <row r="117" spans="1:18" x14ac:dyDescent="0.25">
      <c r="A117" s="79"/>
      <c r="B117"/>
      <c r="H117" s="44"/>
      <c r="R117" s="79"/>
    </row>
    <row r="118" spans="1:18" x14ac:dyDescent="0.25">
      <c r="A118" s="79"/>
      <c r="B118"/>
      <c r="H118" s="44"/>
      <c r="R118" s="79"/>
    </row>
    <row r="119" spans="1:18" x14ac:dyDescent="0.25">
      <c r="A119" s="79"/>
      <c r="B119"/>
      <c r="H119" s="44"/>
      <c r="R119" s="79"/>
    </row>
    <row r="120" spans="1:18" x14ac:dyDescent="0.25">
      <c r="A120" s="79"/>
      <c r="B120"/>
      <c r="H120" s="44"/>
      <c r="R120" s="79"/>
    </row>
    <row r="121" spans="1:18" x14ac:dyDescent="0.25">
      <c r="A121" s="79"/>
      <c r="B121"/>
      <c r="H121" s="44"/>
      <c r="R121" s="79"/>
    </row>
    <row r="122" spans="1:18" x14ac:dyDescent="0.25">
      <c r="A122" s="79"/>
      <c r="B122" t="s">
        <v>66</v>
      </c>
      <c r="H122" s="44"/>
      <c r="R122" s="79"/>
    </row>
    <row r="123" spans="1:18" x14ac:dyDescent="0.25">
      <c r="A123" s="79"/>
      <c r="B123" t="s">
        <v>62</v>
      </c>
      <c r="H123" s="44"/>
      <c r="R123" s="79"/>
    </row>
    <row r="124" spans="1:18" x14ac:dyDescent="0.25">
      <c r="A124" s="79"/>
      <c r="B124" t="s">
        <v>63</v>
      </c>
      <c r="H124" s="44"/>
      <c r="R124" s="79"/>
    </row>
    <row r="125" spans="1:18" x14ac:dyDescent="0.25">
      <c r="A125" s="79"/>
      <c r="B125"/>
      <c r="H125" s="44"/>
      <c r="R125" s="79"/>
    </row>
    <row r="126" spans="1:18" ht="15.75" thickBot="1" x14ac:dyDescent="0.3">
      <c r="A126" s="79"/>
      <c r="B126"/>
      <c r="H126" s="44"/>
      <c r="R126" s="79"/>
    </row>
    <row r="127" spans="1:18" ht="15.75" thickBot="1" x14ac:dyDescent="0.3">
      <c r="A127" s="79"/>
      <c r="B127"/>
      <c r="H127" s="44"/>
      <c r="R127" s="81" t="str" cm="1">
        <f t="array" aca="1" ref="R127" ca="1">HYPERLINK("#"&amp;CELL("direccion",INDEX(TomaDec!$A$1,1,1)),"VOLVER")</f>
        <v>VOLVER</v>
      </c>
    </row>
    <row r="128" spans="1:18" x14ac:dyDescent="0.25">
      <c r="A128" s="79"/>
      <c r="B128"/>
      <c r="H128" s="44"/>
      <c r="R128" s="79"/>
    </row>
    <row r="129" spans="1:18" x14ac:dyDescent="0.25">
      <c r="A129" s="79"/>
      <c r="B129"/>
      <c r="H129" s="44"/>
      <c r="R129" s="79"/>
    </row>
    <row r="130" spans="1:18" x14ac:dyDescent="0.25">
      <c r="A130" s="79"/>
      <c r="B130"/>
      <c r="H130" s="44"/>
      <c r="R130" s="79"/>
    </row>
    <row r="131" spans="1:18" x14ac:dyDescent="0.25">
      <c r="A131" s="79"/>
      <c r="R131" s="79"/>
    </row>
    <row r="132" spans="1:18" x14ac:dyDescent="0.25">
      <c r="A132" s="79"/>
      <c r="R132" s="79"/>
    </row>
    <row r="133" spans="1:18" x14ac:dyDescent="0.25">
      <c r="A133" s="79"/>
      <c r="R133" s="79"/>
    </row>
    <row r="134" spans="1:18" x14ac:dyDescent="0.25">
      <c r="A134" s="79"/>
      <c r="R134" s="79"/>
    </row>
    <row r="135" spans="1:18" x14ac:dyDescent="0.25">
      <c r="A135" s="79"/>
      <c r="R135" s="79"/>
    </row>
    <row r="136" spans="1:18" x14ac:dyDescent="0.25">
      <c r="A136" s="79"/>
      <c r="R136" s="79"/>
    </row>
    <row r="137" spans="1:18" x14ac:dyDescent="0.25">
      <c r="A137" s="79"/>
      <c r="R137" s="79"/>
    </row>
    <row r="138" spans="1:18" x14ac:dyDescent="0.25">
      <c r="A138" s="79"/>
      <c r="R138" s="79"/>
    </row>
    <row r="139" spans="1:18" x14ac:dyDescent="0.25">
      <c r="A139" s="79"/>
      <c r="R139" s="79"/>
    </row>
    <row r="140" spans="1:18" x14ac:dyDescent="0.25">
      <c r="A140" s="79"/>
      <c r="R140" s="79"/>
    </row>
    <row r="141" spans="1:18" x14ac:dyDescent="0.25">
      <c r="A141" s="79"/>
      <c r="R141" s="79"/>
    </row>
    <row r="142" spans="1:18" x14ac:dyDescent="0.25">
      <c r="A142" s="79"/>
      <c r="R142" s="79"/>
    </row>
    <row r="143" spans="1:18" x14ac:dyDescent="0.25">
      <c r="A143" s="79"/>
      <c r="R143" s="79"/>
    </row>
    <row r="144" spans="1:18" x14ac:dyDescent="0.25">
      <c r="A144" s="79"/>
      <c r="R144" s="79"/>
    </row>
    <row r="145" spans="1:18" x14ac:dyDescent="0.25">
      <c r="A145" s="79"/>
      <c r="R145" s="79"/>
    </row>
    <row r="146" spans="1:18" x14ac:dyDescent="0.25">
      <c r="A146" s="79"/>
      <c r="R146" s="79"/>
    </row>
    <row r="147" spans="1:18" x14ac:dyDescent="0.25">
      <c r="A147" s="79"/>
      <c r="R147" s="79"/>
    </row>
    <row r="148" spans="1:18" ht="15.75" thickBot="1" x14ac:dyDescent="0.3">
      <c r="A148" s="79"/>
      <c r="R148" s="79"/>
    </row>
    <row r="149" spans="1:18" ht="15.75" thickBot="1" x14ac:dyDescent="0.3">
      <c r="A149" s="79"/>
      <c r="R149" s="81" t="str" cm="1">
        <f t="array" aca="1" ref="R149" ca="1">HYPERLINK("#"&amp;CELL("direccion",INDEX(TomaDec!$A$1,1,1)),"VOLVER")</f>
        <v>VOLVER</v>
      </c>
    </row>
    <row r="150" spans="1:18" x14ac:dyDescent="0.25">
      <c r="A150" s="79"/>
      <c r="B150" s="79"/>
      <c r="C150" s="79"/>
      <c r="D150" s="79"/>
      <c r="E150" s="79"/>
      <c r="F150" s="79"/>
      <c r="G150" s="79"/>
      <c r="H150" s="79"/>
      <c r="I150" s="79"/>
      <c r="J150" s="79"/>
      <c r="K150" s="79"/>
      <c r="L150" s="79"/>
      <c r="M150" s="79"/>
      <c r="N150" s="79"/>
      <c r="O150" s="79"/>
      <c r="P150" s="79"/>
      <c r="Q150" s="79"/>
      <c r="R150" s="79"/>
    </row>
  </sheetData>
  <sheetProtection sheet="1" objects="1" scenarios="1"/>
  <mergeCells count="12">
    <mergeCell ref="B81:P81"/>
    <mergeCell ref="A1:E1"/>
    <mergeCell ref="AL1:BE1"/>
    <mergeCell ref="AA2:AH2"/>
    <mergeCell ref="B17:C17"/>
    <mergeCell ref="B18:B19"/>
    <mergeCell ref="B20:B21"/>
    <mergeCell ref="B22:B23"/>
    <mergeCell ref="A25:C25"/>
    <mergeCell ref="D25:Z25"/>
    <mergeCell ref="A24:C24"/>
    <mergeCell ref="B80:F80"/>
  </mergeCells>
  <conditionalFormatting sqref="F4:F23">
    <cfRule type="containsText" dxfId="18" priority="4" operator="containsText" text="a">
      <formula>NOT(ISERROR(SEARCH("a",F4)))</formula>
    </cfRule>
    <cfRule type="containsText" dxfId="17" priority="18" operator="containsText" text="a">
      <formula>NOT(ISERROR(SEARCH("a",F4)))</formula>
    </cfRule>
  </conditionalFormatting>
  <conditionalFormatting sqref="G2:Z2">
    <cfRule type="cellIs" dxfId="16" priority="16" operator="greaterThan">
      <formula>0</formula>
    </cfRule>
  </conditionalFormatting>
  <conditionalFormatting sqref="G2:Z3">
    <cfRule type="containsText" dxfId="15" priority="17" operator="containsText" text="N">
      <formula>NOT(ISERROR(SEARCH("N",G2)))</formula>
    </cfRule>
    <cfRule type="containsText" dxfId="14" priority="19" operator="containsText" text="N">
      <formula>NOT(ISERROR(SEARCH("N",G2)))</formula>
    </cfRule>
  </conditionalFormatting>
  <conditionalFormatting sqref="G4:Z24">
    <cfRule type="notContainsBlanks" dxfId="13" priority="21">
      <formula>LEN(TRIM(G4))&gt;0</formula>
    </cfRule>
  </conditionalFormatting>
  <conditionalFormatting sqref="AB4:AB23">
    <cfRule type="top10" dxfId="12" priority="10" rank="1"/>
  </conditionalFormatting>
  <conditionalFormatting sqref="AC4:AC23">
    <cfRule type="top10" dxfId="11" priority="9" rank="1"/>
  </conditionalFormatting>
  <conditionalFormatting sqref="AD4:AD23">
    <cfRule type="top10" dxfId="10" priority="8" rank="1"/>
  </conditionalFormatting>
  <conditionalFormatting sqref="AE4:AE23">
    <cfRule type="top10" dxfId="9" priority="7" bottom="1" rank="1"/>
  </conditionalFormatting>
  <conditionalFormatting sqref="AF4:AF23">
    <cfRule type="top10" dxfId="8" priority="6" rank="1"/>
  </conditionalFormatting>
  <conditionalFormatting sqref="AG4:AG23">
    <cfRule type="top10" dxfId="7" priority="5" rank="1"/>
  </conditionalFormatting>
  <conditionalFormatting sqref="AK4:AK23">
    <cfRule type="containsText" dxfId="6" priority="12" operator="containsText" text="a">
      <formula>NOT(ISERROR(SEARCH("a",AK4)))</formula>
    </cfRule>
    <cfRule type="containsText" dxfId="5" priority="14" operator="containsText" text="a">
      <formula>NOT(ISERROR(SEARCH("a",AK4)))</formula>
    </cfRule>
  </conditionalFormatting>
  <conditionalFormatting sqref="AL2:BE2">
    <cfRule type="cellIs" dxfId="4" priority="11" operator="greaterThan">
      <formula>0</formula>
    </cfRule>
  </conditionalFormatting>
  <conditionalFormatting sqref="AL2:BE3">
    <cfRule type="containsText" dxfId="3" priority="13" operator="containsText" text="N">
      <formula>NOT(ISERROR(SEARCH("N",AL2)))</formula>
    </cfRule>
    <cfRule type="containsText" dxfId="2" priority="15" operator="containsText" text="N">
      <formula>NOT(ISERROR(SEARCH("N",AL2)))</formula>
    </cfRule>
  </conditionalFormatting>
  <conditionalFormatting sqref="AL24:BE24">
    <cfRule type="notContainsBlanks" dxfId="1" priority="2">
      <formula>LEN(TRIM(AL24))&gt;0</formula>
    </cfRule>
  </conditionalFormatting>
  <conditionalFormatting sqref="BF4:BF23">
    <cfRule type="notContainsBlanks" dxfId="0" priority="20">
      <formula>LEN(TRIM(BF4))&gt;0</formula>
    </cfRule>
  </conditionalFormatting>
  <pageMargins left="0.7" right="0.7" top="0.75" bottom="0.75" header="0.3" footer="0.3"/>
  <pageSetup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TomaDec</vt:lpstr>
      <vt:lpstr>Matriz_de_arrepentimientos</vt:lpstr>
      <vt:lpstr>Vector_J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Alejandro</dc:creator>
  <cp:lastModifiedBy>Alejandro Roberti</cp:lastModifiedBy>
  <cp:lastPrinted>2024-03-03T14:39:35Z</cp:lastPrinted>
  <dcterms:created xsi:type="dcterms:W3CDTF">2023-07-31T17:59:05Z</dcterms:created>
  <dcterms:modified xsi:type="dcterms:W3CDTF">2026-03-14T22:02:41Z</dcterms:modified>
</cp:coreProperties>
</file>