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steEquipo\Escritorio\WinQSExc\Revision2026\ExistenteAl13mar26\"/>
    </mc:Choice>
  </mc:AlternateContent>
  <xr:revisionPtr revIDLastSave="0" documentId="13_ncr:1_{F652ADA1-0B78-490D-B173-3B20657F4721}" xr6:coauthVersionLast="47" xr6:coauthVersionMax="47" xr10:uidLastSave="{00000000-0000-0000-0000-000000000000}"/>
  <bookViews>
    <workbookView xWindow="-120" yWindow="-120" windowWidth="20070" windowHeight="11760" xr2:uid="{00000000-000D-0000-FFFF-FFFF00000000}"/>
  </bookViews>
  <sheets>
    <sheet name="D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1" l="1"/>
  <c r="J38" i="1"/>
  <c r="O33" i="1"/>
  <c r="N38" i="1"/>
  <c r="N46" i="1"/>
  <c r="N47" i="1" s="1"/>
  <c r="N37" i="1"/>
  <c r="W43" i="1"/>
  <c r="W39" i="1"/>
  <c r="U43" i="1"/>
  <c r="W42" i="1" s="1"/>
  <c r="U42" i="1"/>
  <c r="W41" i="1" s="1"/>
  <c r="U41" i="1"/>
  <c r="W40" i="1" s="1"/>
  <c r="U40" i="1"/>
  <c r="D3" i="1"/>
  <c r="Y34" i="1"/>
  <c r="Y33" i="1"/>
  <c r="Y32" i="1"/>
  <c r="V34" i="1"/>
  <c r="V33" i="1"/>
  <c r="V32" i="1"/>
  <c r="V31" i="1"/>
  <c r="Y31" i="1"/>
  <c r="N40" i="1" l="1"/>
  <c r="O40" i="1" s="1"/>
  <c r="N48" i="1"/>
  <c r="N49" i="1"/>
  <c r="O46" i="1"/>
  <c r="AB34" i="1"/>
  <c r="AB33" i="1"/>
  <c r="AB32" i="1"/>
  <c r="AB31" i="1"/>
  <c r="U52" i="1"/>
  <c r="V43" i="1" s="1"/>
  <c r="U51" i="1"/>
  <c r="U50" i="1"/>
  <c r="V50" i="1" s="1"/>
  <c r="Z50" i="1" s="1"/>
  <c r="U49" i="1"/>
  <c r="V49" i="1" s="1"/>
  <c r="Z49" i="1" s="1"/>
  <c r="AA40" i="1" s="1"/>
  <c r="U48" i="1"/>
  <c r="V39" i="1" s="1"/>
  <c r="N39" i="1" l="1"/>
  <c r="N42" i="1" s="1"/>
  <c r="J42" i="1" s="1"/>
  <c r="N50" i="1"/>
  <c r="V48" i="1"/>
  <c r="W48" i="1" s="1"/>
  <c r="AB48" i="1"/>
  <c r="J40" i="1"/>
  <c r="J41" i="1" s="1"/>
  <c r="V40" i="1"/>
  <c r="V41" i="1"/>
  <c r="V52" i="1"/>
  <c r="Z52" i="1" s="1"/>
  <c r="AA43" i="1" s="1"/>
  <c r="V51" i="1"/>
  <c r="Z51" i="1" s="1"/>
  <c r="AA42" i="1" s="1"/>
  <c r="V42" i="1"/>
  <c r="X40" i="1"/>
  <c r="AB50" i="1"/>
  <c r="AB49" i="1"/>
  <c r="AB52" i="1"/>
  <c r="AB51" i="1"/>
  <c r="W49" i="1"/>
  <c r="Y49" i="1"/>
  <c r="Z40" i="1" s="1"/>
  <c r="X49" i="1"/>
  <c r="N43" i="1" l="1"/>
  <c r="J43" i="1" s="1"/>
  <c r="X39" i="1"/>
  <c r="Z48" i="1"/>
  <c r="AA39" i="1" s="1"/>
  <c r="Y48" i="1"/>
  <c r="Z39" i="1" s="1"/>
  <c r="X48" i="1"/>
  <c r="Y39" i="1" s="1"/>
  <c r="D17" i="1"/>
  <c r="W52" i="1"/>
  <c r="X52" i="1"/>
  <c r="X43" i="1"/>
  <c r="W51" i="1"/>
  <c r="Y52" i="1"/>
  <c r="Z43" i="1" s="1"/>
  <c r="X51" i="1"/>
  <c r="Y51" i="1"/>
  <c r="Z42" i="1" s="1"/>
  <c r="X42" i="1"/>
  <c r="Y40" i="1"/>
  <c r="AA48" i="1"/>
  <c r="AC39" i="1" s="1"/>
  <c r="AC52" i="1"/>
  <c r="AD43" i="1" s="1"/>
  <c r="AC51" i="1"/>
  <c r="AD42" i="1" s="1"/>
  <c r="W50" i="1"/>
  <c r="X41" i="1"/>
  <c r="AA41" i="1"/>
  <c r="Y50" i="1"/>
  <c r="Z41" i="1" s="1"/>
  <c r="X50" i="1"/>
  <c r="AA49" i="1"/>
  <c r="AC40" i="1" s="1"/>
  <c r="AC49" i="1"/>
  <c r="AD40" i="1" s="1"/>
  <c r="AA52" i="1"/>
  <c r="AC43" i="1" s="1"/>
  <c r="AA51" i="1"/>
  <c r="AC42" i="1" s="1"/>
  <c r="AL4" i="1"/>
  <c r="AC48" i="1" l="1"/>
  <c r="AD39" i="1" s="1"/>
  <c r="N44" i="1"/>
  <c r="K52" i="1" s="1"/>
  <c r="Y43" i="1"/>
  <c r="Y42" i="1"/>
  <c r="Y41" i="1"/>
  <c r="AD49" i="1"/>
  <c r="AB40" i="1" s="1"/>
  <c r="AD51" i="1"/>
  <c r="AB42" i="1" s="1"/>
  <c r="AA50" i="1"/>
  <c r="AC41" i="1" s="1"/>
  <c r="AC50" i="1"/>
  <c r="AD41" i="1" s="1"/>
  <c r="AD52" i="1"/>
  <c r="AB43" i="1" s="1"/>
  <c r="F9" i="1"/>
  <c r="AD48" i="1" l="1"/>
  <c r="AB39" i="1" s="1"/>
  <c r="AD50" i="1"/>
  <c r="AB41" i="1" s="1"/>
  <c r="G22" i="1"/>
  <c r="G3" i="1" s="1"/>
  <c r="U45" i="1" l="1"/>
  <c r="L7" i="1"/>
  <c r="J11" i="1"/>
  <c r="J12" i="1" s="1"/>
  <c r="J10" i="1"/>
  <c r="J5" i="1"/>
  <c r="J6" i="1"/>
  <c r="J13" i="1"/>
  <c r="J16" i="1"/>
  <c r="J17" i="1"/>
  <c r="J4" i="1"/>
  <c r="G12" i="1"/>
  <c r="F10" i="1"/>
  <c r="E19" i="1"/>
  <c r="E18" i="1"/>
  <c r="E16" i="1"/>
  <c r="E8" i="1"/>
  <c r="E9" i="1"/>
  <c r="E7" i="1"/>
  <c r="E6" i="1"/>
  <c r="E4" i="1"/>
  <c r="D19" i="1"/>
  <c r="D13" i="1"/>
  <c r="D11" i="1"/>
  <c r="I4" i="1" s="1"/>
  <c r="I17" i="1" l="1"/>
  <c r="I16" i="1"/>
  <c r="AP9" i="1"/>
  <c r="AP4" i="1" l="1"/>
  <c r="AP15" i="1"/>
  <c r="AQ9" i="1"/>
  <c r="I5" i="1"/>
  <c r="I13" i="1"/>
  <c r="AR9" i="1" s="1"/>
  <c r="I9" i="1"/>
  <c r="I6" i="1" s="1"/>
  <c r="I10" i="1"/>
  <c r="AQ15" i="1" l="1"/>
  <c r="AP10" i="1"/>
  <c r="AP11" i="1" s="1"/>
  <c r="AR15" i="1"/>
  <c r="I7" i="1"/>
  <c r="AK24" i="1"/>
  <c r="AN4" i="1" s="1"/>
  <c r="AK21" i="1"/>
  <c r="AQ4" i="1"/>
  <c r="AR4" i="1"/>
  <c r="AK25" i="1"/>
  <c r="AK5" i="1" s="1"/>
  <c r="AP5" i="1"/>
  <c r="I12" i="1"/>
  <c r="AK20" i="1" s="1"/>
  <c r="AK22" i="1"/>
  <c r="AK6" i="1" s="1"/>
  <c r="L10" i="1"/>
  <c r="H23" i="1"/>
  <c r="H3" i="1" s="1"/>
  <c r="I11" i="1"/>
  <c r="AK16" i="1" l="1"/>
  <c r="AL16" i="1" s="1"/>
  <c r="AK12" i="1"/>
  <c r="AL12" i="1" s="1"/>
  <c r="AK8" i="1"/>
  <c r="AN8" i="1" s="1"/>
  <c r="AQ11" i="1"/>
  <c r="AR11" i="1"/>
  <c r="AP12" i="1"/>
  <c r="AN5" i="1"/>
  <c r="AL5" i="1"/>
  <c r="AK10" i="1"/>
  <c r="AL10" i="1" s="1"/>
  <c r="AQ5" i="1"/>
  <c r="AR5" i="1"/>
  <c r="AP6" i="1"/>
  <c r="AQ10" i="1"/>
  <c r="AR10" i="1"/>
  <c r="AK14" i="1"/>
  <c r="AN14" i="1" s="1"/>
  <c r="AL6" i="1"/>
  <c r="AN6" i="1"/>
  <c r="AK7" i="1"/>
  <c r="I14" i="1"/>
  <c r="AK17" i="1" l="1"/>
  <c r="AL17" i="1" s="1"/>
  <c r="AN16" i="1"/>
  <c r="AN12" i="1"/>
  <c r="AL8" i="1"/>
  <c r="AK13" i="1"/>
  <c r="AL13" i="1" s="1"/>
  <c r="AL14" i="1"/>
  <c r="AK9" i="1"/>
  <c r="AK15" i="1"/>
  <c r="AK11" i="1"/>
  <c r="AL11" i="1" s="1"/>
  <c r="AQ6" i="1"/>
  <c r="AR6" i="1"/>
  <c r="AP7" i="1"/>
  <c r="AR12" i="1"/>
  <c r="AQ12" i="1"/>
  <c r="AP13" i="1"/>
  <c r="AN10" i="1"/>
  <c r="AL7" i="1"/>
  <c r="AN7" i="1"/>
  <c r="AN17" i="1" l="1"/>
  <c r="AN9" i="1"/>
  <c r="AL9" i="1"/>
  <c r="AN13" i="1"/>
  <c r="AN11" i="1"/>
  <c r="AL15" i="1"/>
  <c r="AN15" i="1"/>
  <c r="AQ7" i="1"/>
  <c r="AR7" i="1"/>
  <c r="AP8" i="1"/>
  <c r="AR13" i="1"/>
  <c r="AQ13" i="1"/>
  <c r="AP14" i="1"/>
  <c r="AR14" i="1" l="1"/>
  <c r="AQ14" i="1"/>
  <c r="AQ8" i="1"/>
  <c r="AR8" i="1"/>
  <c r="AK23" i="1" l="1"/>
  <c r="AM5" i="1" l="1"/>
  <c r="AM12" i="1"/>
  <c r="AM8" i="1"/>
  <c r="AM15" i="1"/>
  <c r="AM11" i="1"/>
  <c r="AM16" i="1"/>
  <c r="AM17" i="1"/>
  <c r="AM9" i="1"/>
  <c r="AM7" i="1"/>
  <c r="AM13" i="1"/>
  <c r="AM14" i="1"/>
  <c r="AM6" i="1"/>
  <c r="AM10" i="1"/>
  <c r="AM4" i="1"/>
  <c r="L4" i="1" l="1"/>
  <c r="L5" i="1" l="1"/>
  <c r="L6" i="1" s="1"/>
  <c r="L8" i="1" s="1"/>
</calcChain>
</file>

<file path=xl/sharedStrings.xml><?xml version="1.0" encoding="utf-8"?>
<sst xmlns="http://schemas.openxmlformats.org/spreadsheetml/2006/main" count="248" uniqueCount="223">
  <si>
    <t>unidad de tiempo</t>
  </si>
  <si>
    <t>demanda</t>
  </si>
  <si>
    <t>costo compra</t>
  </si>
  <si>
    <t>costo unitario</t>
  </si>
  <si>
    <t>tasa transferencia</t>
  </si>
  <si>
    <t>tiempo guía</t>
  </si>
  <si>
    <t>costo inventario</t>
  </si>
  <si>
    <t>varianza</t>
  </si>
  <si>
    <t>desvest en L</t>
  </si>
  <si>
    <t>tiempo revisión</t>
  </si>
  <si>
    <t>desvest en T+L</t>
  </si>
  <si>
    <t>existencia al revis</t>
  </si>
  <si>
    <t>demanda T+L</t>
  </si>
  <si>
    <t>D</t>
  </si>
  <si>
    <t>K</t>
  </si>
  <si>
    <t>C</t>
  </si>
  <si>
    <t>i</t>
  </si>
  <si>
    <t>L</t>
  </si>
  <si>
    <t>P</t>
  </si>
  <si>
    <t>H</t>
  </si>
  <si>
    <t>T</t>
  </si>
  <si>
    <t>I</t>
  </si>
  <si>
    <t>$</t>
  </si>
  <si>
    <t>←</t>
  </si>
  <si>
    <t>Pedido optimo</t>
  </si>
  <si>
    <t>Nivel Max</t>
  </si>
  <si>
    <t>Pto. Reposicion</t>
  </si>
  <si>
    <t>Ciclo de R</t>
  </si>
  <si>
    <t>Stock seguridad</t>
  </si>
  <si>
    <t>q</t>
  </si>
  <si>
    <t>R</t>
  </si>
  <si>
    <t>S</t>
  </si>
  <si>
    <t>Q</t>
  </si>
  <si>
    <t>COSTO PEDIR</t>
  </si>
  <si>
    <t>COSTO GUARDAR</t>
  </si>
  <si>
    <t>COSTO INVENTARIO</t>
  </si>
  <si>
    <t>COSTO COMPRA</t>
  </si>
  <si>
    <t>COSTO TOTAL</t>
  </si>
  <si>
    <t>año</t>
  </si>
  <si>
    <t>Eje X</t>
  </si>
  <si>
    <t>Q/2</t>
  </si>
  <si>
    <t>Punto Rep. ajustado</t>
  </si>
  <si>
    <t>R+S</t>
  </si>
  <si>
    <t>unidad del ítem</t>
  </si>
  <si>
    <t>mes</t>
  </si>
  <si>
    <t>dia</t>
  </si>
  <si>
    <t>hora</t>
  </si>
  <si>
    <t>1/2(qic)</t>
  </si>
  <si>
    <t>1/2(p-d*q/p)ic</t>
  </si>
  <si>
    <t>1/2(q/s+s)ic</t>
  </si>
  <si>
    <t>KD/Q</t>
  </si>
  <si>
    <r>
      <rPr>
        <b/>
        <sz val="10"/>
        <color theme="1"/>
        <rFont val="Calibri"/>
        <family val="2"/>
      </rPr>
      <t>σ</t>
    </r>
    <r>
      <rPr>
        <b/>
        <vertAlign val="superscript"/>
        <sz val="10"/>
        <color theme="1"/>
        <rFont val="Calibri"/>
        <family val="2"/>
      </rPr>
      <t>2</t>
    </r>
  </si>
  <si>
    <r>
      <t>σ</t>
    </r>
    <r>
      <rPr>
        <b/>
        <vertAlign val="subscript"/>
        <sz val="10"/>
        <color theme="1"/>
        <rFont val="Calibri"/>
        <family val="2"/>
        <scheme val="minor"/>
      </rPr>
      <t>L</t>
    </r>
  </si>
  <si>
    <t>α</t>
  </si>
  <si>
    <r>
      <t>Q</t>
    </r>
    <r>
      <rPr>
        <b/>
        <vertAlign val="subscript"/>
        <sz val="10"/>
        <color theme="1"/>
        <rFont val="Calibri"/>
        <family val="2"/>
        <scheme val="minor"/>
      </rPr>
      <t>max</t>
    </r>
  </si>
  <si>
    <t>A/\D</t>
  </si>
  <si>
    <t>tasa producción(*)</t>
  </si>
  <si>
    <t>nivel servicio(**)</t>
  </si>
  <si>
    <r>
      <t xml:space="preserve">USAR ESTE SECTOR SOLO PARA INVENTARIOS CON </t>
    </r>
    <r>
      <rPr>
        <b/>
        <sz val="10"/>
        <color rgb="FFFFFF00"/>
        <rFont val="Calibri"/>
        <family val="2"/>
        <scheme val="minor"/>
      </rPr>
      <t>REVISION PERIODICA</t>
    </r>
  </si>
  <si>
    <r>
      <t xml:space="preserve">(*)   Admite </t>
    </r>
    <r>
      <rPr>
        <b/>
        <sz val="10"/>
        <color theme="1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 xml:space="preserve"> o " " (blanco) para infinito</t>
    </r>
  </si>
  <si>
    <r>
      <t xml:space="preserve">(**) </t>
    </r>
    <r>
      <rPr>
        <b/>
        <sz val="10"/>
        <color theme="1"/>
        <rFont val="Calibri"/>
        <family val="2"/>
      </rPr>
      <t xml:space="preserve">α = </t>
    </r>
    <r>
      <rPr>
        <b/>
        <sz val="10"/>
        <color theme="1"/>
        <rFont val="Calibri"/>
        <family val="2"/>
        <scheme val="minor"/>
      </rPr>
      <t>0,5</t>
    </r>
    <r>
      <rPr>
        <sz val="10"/>
        <color theme="1"/>
        <rFont val="Calibri"/>
        <family val="2"/>
        <scheme val="minor"/>
      </rPr>
      <t xml:space="preserve"> en modelos determinísticos</t>
    </r>
  </si>
  <si>
    <t>MODELO EN CURSO:</t>
  </si>
  <si>
    <r>
      <t xml:space="preserve">DEJAR LA </t>
    </r>
    <r>
      <rPr>
        <b/>
        <sz val="10"/>
        <color rgb="FF00B050"/>
        <rFont val="Calibri"/>
        <family val="2"/>
        <scheme val="minor"/>
      </rPr>
      <t>CELDA VERDE</t>
    </r>
    <r>
      <rPr>
        <sz val="10"/>
        <color theme="0"/>
        <rFont val="Calibri"/>
        <family val="2"/>
        <scheme val="minor"/>
      </rPr>
      <t xml:space="preserve"> EN BLANCO SI USA OTROS MODELOS</t>
    </r>
  </si>
  <si>
    <t xml:space="preserve">Q </t>
  </si>
  <si>
    <t>Ayuda</t>
  </si>
  <si>
    <t>EOQ</t>
  </si>
  <si>
    <t>POQ</t>
  </si>
  <si>
    <t>Revisión contínua con Demanda determinística:</t>
  </si>
  <si>
    <t>Revisión contínua con Demanda con distribución normal:</t>
  </si>
  <si>
    <t xml:space="preserve">EOQ </t>
  </si>
  <si>
    <t xml:space="preserve">POQ </t>
  </si>
  <si>
    <t>Revisión periódica con Demanda con distribución normal:</t>
  </si>
  <si>
    <r>
      <t>"</t>
    </r>
    <r>
      <rPr>
        <b/>
        <sz val="10"/>
        <color theme="1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>", una "</t>
    </r>
    <r>
      <rPr>
        <b/>
        <sz val="10"/>
        <color theme="1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>" o un espacio en blanco " ".</t>
    </r>
  </si>
  <si>
    <t>de resultados</t>
  </si>
  <si>
    <t>2. Area de costos.</t>
  </si>
  <si>
    <t>4. Area de gráfico de perfil de inventario</t>
  </si>
  <si>
    <t>5. Area de gráfico de análisis de costos.</t>
  </si>
  <si>
    <t>Además se visualizará el modelo ingresado en el recuadro</t>
  </si>
  <si>
    <t>amarillo inferior y en la fila superior del área 1</t>
  </si>
  <si>
    <t>Para acceder a modelos EOQ o POQ con demanda determinística debe ingresarse un valor de nivel de servicio (α)  = 0,5</t>
  </si>
  <si>
    <t>Para acceder a modelos de Cantidad Económica de Pedidos (EOQ) debe colocarse en la celda tasa de producción (P) una</t>
  </si>
  <si>
    <t xml:space="preserve">Para acceder a modelos de Producción, debe ingresarse la tasa de producción (P) en la celda correspondiente. Si en esa </t>
  </si>
  <si>
    <t>celda se ingresa "M", "m" o " " se tomará con tasa infinita y se procesará como modelo EOQ</t>
  </si>
  <si>
    <t>Como estos modelos son complementarios a modelos base se accede a ellos simplemente ingresando un valor para el tiempo</t>
  </si>
  <si>
    <r>
      <rPr>
        <b/>
        <sz val="10"/>
        <color theme="1"/>
        <rFont val="Calibri"/>
        <family val="2"/>
        <scheme val="minor"/>
      </rPr>
      <t>de revisión (T)</t>
    </r>
    <r>
      <rPr>
        <sz val="10"/>
        <color theme="1"/>
        <rFont val="Calibri"/>
        <family val="2"/>
        <scheme val="minor"/>
      </rPr>
      <t xml:space="preserve">, lo que anulará el resto de los ingresos y permite visualizar los resultados de Q y q en la parte inferior del sector </t>
    </r>
  </si>
  <si>
    <t xml:space="preserve">AER 1: 11/2015 </t>
  </si>
  <si>
    <t>optimizaMultiStock20</t>
  </si>
  <si>
    <t>(1/2)(QH)</t>
  </si>
  <si>
    <t>semana</t>
  </si>
  <si>
    <t>minuto</t>
  </si>
  <si>
    <t xml:space="preserve">                  Modelos con Demanda determinística</t>
  </si>
  <si>
    <t xml:space="preserve">                 Modelos con demanda probabilística</t>
  </si>
  <si>
    <t xml:space="preserve">                 Modelos de revisión contínua</t>
  </si>
  <si>
    <r>
      <t>La entrada "</t>
    </r>
    <r>
      <rPr>
        <b/>
        <sz val="10"/>
        <color theme="1"/>
        <rFont val="Calibri"/>
        <family val="2"/>
        <scheme val="minor"/>
      </rPr>
      <t>existencia al revis (I)</t>
    </r>
    <r>
      <rPr>
        <sz val="10"/>
        <color theme="1"/>
        <rFont val="Calibri"/>
        <family val="2"/>
        <scheme val="minor"/>
      </rPr>
      <t>" puede ser utilizada también en los demás modelos</t>
    </r>
  </si>
  <si>
    <t>en modelos de revisión periódica.</t>
  </si>
  <si>
    <r>
      <t>Solamente están habilitadas las celdas color amarillo y la celda verde para "</t>
    </r>
    <r>
      <rPr>
        <b/>
        <sz val="10"/>
        <color theme="1"/>
        <rFont val="Calibri"/>
        <family val="2"/>
        <scheme val="minor"/>
      </rPr>
      <t>Tiempo de revisión (T)</t>
    </r>
    <r>
      <rPr>
        <sz val="10"/>
        <color theme="1"/>
        <rFont val="Calibri"/>
        <family val="2"/>
        <scheme val="minor"/>
      </rPr>
      <t>"</t>
    </r>
  </si>
  <si>
    <t>VOLVER</t>
  </si>
  <si>
    <t xml:space="preserve">cantidad real a pedir </t>
  </si>
  <si>
    <t>Referencia</t>
  </si>
  <si>
    <r>
      <t>Q (</t>
    </r>
    <r>
      <rPr>
        <b/>
        <sz val="9"/>
        <color theme="1"/>
        <rFont val="Calibri"/>
        <family val="2"/>
      </rPr>
      <t>μ</t>
    </r>
    <r>
      <rPr>
        <b/>
        <vertAlign val="subscript"/>
        <sz val="9"/>
        <color theme="1"/>
        <rFont val="Calibri"/>
        <family val="2"/>
      </rPr>
      <t>T+L</t>
    </r>
    <r>
      <rPr>
        <b/>
        <sz val="9"/>
        <color theme="1"/>
        <rFont val="Calibri"/>
        <family val="2"/>
      </rPr>
      <t>)</t>
    </r>
  </si>
  <si>
    <t>P(D&lt;Q)</t>
  </si>
  <si>
    <t>B</t>
  </si>
  <si>
    <t>Costo Unitario</t>
  </si>
  <si>
    <t>Precio de venta</t>
  </si>
  <si>
    <t>Costo por faltante</t>
  </si>
  <si>
    <t>Nivel óptimo servicio</t>
  </si>
  <si>
    <t>Demanda prevista</t>
  </si>
  <si>
    <t>Q optimo</t>
  </si>
  <si>
    <t>μ</t>
  </si>
  <si>
    <t>σ</t>
  </si>
  <si>
    <t>Costo Total por falta</t>
  </si>
  <si>
    <t>Costo Total por sobra</t>
  </si>
  <si>
    <t>Precio saldo obsoleto</t>
  </si>
  <si>
    <t>IR A PROBLEMA DEL CANILLITA</t>
  </si>
  <si>
    <t>EOQ con descuentos por cantidad</t>
  </si>
  <si>
    <t>Con descuento</t>
  </si>
  <si>
    <t>Constante</t>
  </si>
  <si>
    <t>Tipo de descuento</t>
  </si>
  <si>
    <t>Descuento incremental</t>
  </si>
  <si>
    <t>Descuento%</t>
  </si>
  <si>
    <t>Costo Real</t>
  </si>
  <si>
    <t>CP</t>
  </si>
  <si>
    <t>CC</t>
  </si>
  <si>
    <t>CH</t>
  </si>
  <si>
    <t>Posible</t>
  </si>
  <si>
    <t>Q*</t>
  </si>
  <si>
    <t>INICIAL</t>
  </si>
  <si>
    <t>CT</t>
  </si>
  <si>
    <t>Inicial</t>
  </si>
  <si>
    <t>Corte</t>
  </si>
  <si>
    <t>TRAMO</t>
  </si>
  <si>
    <t>Q (EOQ)</t>
  </si>
  <si>
    <t>Ctotal xEOQ</t>
  </si>
  <si>
    <t>Posible?</t>
  </si>
  <si>
    <t>Q Posible</t>
  </si>
  <si>
    <t>Volver</t>
  </si>
  <si>
    <t>IR A DESCUENTO POR CANTIDAD</t>
  </si>
  <si>
    <t>P(D&lt;Q)=CF/(CF+CE)</t>
  </si>
  <si>
    <t>Costo Pedir</t>
  </si>
  <si>
    <t>Cost almacen</t>
  </si>
  <si>
    <t>Rango</t>
  </si>
  <si>
    <t xml:space="preserve">   (función no disponible)</t>
  </si>
  <si>
    <t>Costo de almacén (H)</t>
  </si>
  <si>
    <t>Cantidad de cortes de descuento (maximo cuatro  (4))</t>
  </si>
  <si>
    <t>Lucro esperado *</t>
  </si>
  <si>
    <t>Lucro esperado*</t>
  </si>
  <si>
    <t>(*) divergencia +/- 0,62%</t>
  </si>
  <si>
    <t>Cf</t>
  </si>
  <si>
    <t>Ce</t>
  </si>
  <si>
    <t>Ce=C-S</t>
  </si>
  <si>
    <t>Cf=P-C+B</t>
  </si>
  <si>
    <t>Q=DISTR.NORM.INV(P;μ;σ)</t>
  </si>
  <si>
    <t>Nivel servicio a ensayar</t>
  </si>
  <si>
    <t>Nivel servicio ensayado</t>
  </si>
  <si>
    <t>Costo Total por falta ensayo</t>
  </si>
  <si>
    <t>Costo total por sobra ensayo</t>
  </si>
  <si>
    <t>$Cf'</t>
  </si>
  <si>
    <t>$Ce'</t>
  </si>
  <si>
    <t>$'</t>
  </si>
  <si>
    <t>$Ce</t>
  </si>
  <si>
    <t>$Cf</t>
  </si>
  <si>
    <t>Costo unitario por faltante</t>
  </si>
  <si>
    <t>Costo unitario por exceso</t>
  </si>
  <si>
    <t>Desv est demanda prevista</t>
  </si>
  <si>
    <t>Q optimo ensayo</t>
  </si>
  <si>
    <t>EOQ/POQ con descuento por cantidad</t>
  </si>
  <si>
    <t>Prob del canillita</t>
  </si>
  <si>
    <r>
      <t>σ</t>
    </r>
    <r>
      <rPr>
        <b/>
        <vertAlign val="subscript"/>
        <sz val="10"/>
        <color theme="1"/>
        <rFont val="Calibri"/>
        <family val="2"/>
        <scheme val="minor"/>
      </rPr>
      <t>T+L</t>
    </r>
  </si>
  <si>
    <r>
      <t>D</t>
    </r>
    <r>
      <rPr>
        <b/>
        <vertAlign val="subscript"/>
        <sz val="10"/>
        <color theme="1"/>
        <rFont val="Calibri"/>
        <family val="2"/>
        <scheme val="minor"/>
      </rPr>
      <t>T+L</t>
    </r>
  </si>
  <si>
    <t>Tiempo ciclo</t>
  </si>
  <si>
    <t>C sobra=α[μP-CQ+(B(μ-Q)]</t>
  </si>
  <si>
    <t>Costo de organización</t>
  </si>
  <si>
    <t>Demanda probabilistica - período simple - (Problema del canillita)</t>
  </si>
  <si>
    <t>Volver al problema del canillita</t>
  </si>
  <si>
    <t>Volver a pantalla principal</t>
  </si>
  <si>
    <t>u</t>
  </si>
  <si>
    <t>version 20.4.1</t>
  </si>
  <si>
    <t>optimizaMultiStock</t>
  </si>
  <si>
    <t>MultiStock</t>
  </si>
  <si>
    <t>Mstock: 3/2026 (ver 4.1)</t>
  </si>
  <si>
    <t>MStock20: 7/2020 (ver 4)</t>
  </si>
  <si>
    <t>MultiStock20 (ver 3)</t>
  </si>
  <si>
    <t>MStock17: 5/2017 (ver 2)</t>
  </si>
  <si>
    <t>m</t>
  </si>
  <si>
    <t>(problema del canillita)</t>
  </si>
  <si>
    <t>Demanda probabilística en período simple</t>
  </si>
  <si>
    <t xml:space="preserve">Para acceder a estos modelos - tanto EOQ como POQ - debe ingresarse cualquier valor </t>
  </si>
  <si>
    <t>superior a 0,5 en nivel de servicio α</t>
  </si>
  <si>
    <r>
      <t xml:space="preserve">Para acceder al modelo del </t>
    </r>
    <r>
      <rPr>
        <b/>
        <sz val="10"/>
        <color theme="1"/>
        <rFont val="Calibri"/>
        <family val="2"/>
        <scheme val="minor"/>
      </rPr>
      <t>Problema del canillita</t>
    </r>
    <r>
      <rPr>
        <sz val="10"/>
        <color theme="1"/>
        <rFont val="Calibri"/>
        <family val="2"/>
        <scheme val="minor"/>
      </rPr>
      <t xml:space="preserve"> pulse el botón correspondiente en el</t>
    </r>
  </si>
  <si>
    <t xml:space="preserve"> recuadro amarillo inferior (figura de la derecha)</t>
  </si>
  <si>
    <t xml:space="preserve">Para acceder a análisis de descuento por cantidad debe ingresar los datos básicos SIN </t>
  </si>
  <si>
    <t>DESCUENTO y luego mediante botón correspondiente (figura de la derecha) ir al sector</t>
  </si>
  <si>
    <t>MODELOS SOPORTADOS:</t>
  </si>
  <si>
    <t>INGRESO DE DATOS</t>
  </si>
  <si>
    <t>RESULTADOS</t>
  </si>
  <si>
    <t>PROBLEMA DEL CANILLITA</t>
  </si>
  <si>
    <t>En la pantalla de descuento por cantidad (figura de abajo),</t>
  </si>
  <si>
    <t>la tabla inferior aparecerá con una celda verde que</t>
  </si>
  <si>
    <t>señala el óptimo recomendado.</t>
  </si>
  <si>
    <t xml:space="preserve"> de descuentos e ingresar los tramos de descuento y sus porcentajes (ver más adelante)</t>
  </si>
  <si>
    <t>DESCUENTO POR CANTIDAD</t>
  </si>
  <si>
    <t>Se diferencia de los modelos anteriores en que ofrece  un nivel óptimo de inventario y el nivel</t>
  </si>
  <si>
    <t xml:space="preserve">Sin embargo, se puede ingresar el nivel de servicio deseado y se obtendrá un segundo grupo de </t>
  </si>
  <si>
    <t xml:space="preserve">ingreso de α es opcional. También puede ingresarse o no el costo de organización K. En caso </t>
  </si>
  <si>
    <t xml:space="preserve">que el problema no resulte redituable frente al costo de organización en la parte inferior de la </t>
  </si>
  <si>
    <t xml:space="preserve">ventana aparece una advertencia en tipografía roja. La ventana ocre a la izquierda es </t>
  </si>
  <si>
    <r>
      <t xml:space="preserve">de servicio </t>
    </r>
    <r>
      <rPr>
        <b/>
        <sz val="10"/>
        <color theme="1"/>
        <rFont val="Calibri"/>
        <family val="2"/>
        <scheme val="minor"/>
      </rPr>
      <t>α</t>
    </r>
    <r>
      <rPr>
        <sz val="10"/>
        <color theme="1"/>
        <rFont val="Calibri"/>
        <family val="2"/>
        <scheme val="minor"/>
      </rPr>
      <t xml:space="preserve"> correspondiente, contrario a lo que ocurre en los otros modelos, donde </t>
    </r>
    <r>
      <rPr>
        <sz val="10"/>
        <color theme="1"/>
        <rFont val="Calibri"/>
        <family val="2"/>
      </rPr>
      <t>α es dato.</t>
    </r>
  </si>
  <si>
    <t>resultados con el lucro correspondiente para poder comparalos, en la parte inferior. Este</t>
  </si>
  <si>
    <t>complementaria y se usa para mostrar las funciones utilizadas.</t>
  </si>
  <si>
    <t>Este modelo se usa con inventarios ciclo único compuesto por ítems con fecha de vencimiento.</t>
  </si>
  <si>
    <t>El área de resultados está compuesta de conco sectores</t>
  </si>
  <si>
    <t>como se muestra en la figura a la derecha:</t>
  </si>
  <si>
    <t>1. Area principal, para los indicadores básicos</t>
  </si>
  <si>
    <t xml:space="preserve">3. Area  destinada a los indicadores de </t>
  </si>
  <si>
    <t xml:space="preserve">    los modelos de revisión periódica</t>
  </si>
  <si>
    <t>Para todos los modelos puede ingresarse la unidad de tiempo a usar seleccionando de la lista desplegable.</t>
  </si>
  <si>
    <t>Esta unidad no tiene efectos en los cálculos, se incluye como ayuda para el operador, pero debe ser la misma en toda la hoja.</t>
  </si>
  <si>
    <t>Ayuda para la versión 4.1</t>
  </si>
  <si>
    <r>
      <t>C falta=</t>
    </r>
    <r>
      <rPr>
        <sz val="8"/>
        <color theme="1"/>
        <rFont val="Calibri"/>
        <family val="2"/>
      </rPr>
      <t>α[μP-CQ+(S(Q-μ)]</t>
    </r>
  </si>
  <si>
    <t>Hoja protegida con la contraseña:"DATOS"</t>
  </si>
  <si>
    <t>Costo Stock Seguridad</t>
  </si>
  <si>
    <t>Tiempo Producción</t>
  </si>
  <si>
    <t>tpo.sin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</si>
</sst>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"/>
    <numFmt numFmtId="166" formatCode="0.000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color rgb="FFFFFF00"/>
      <name val="Calibri"/>
      <family val="2"/>
    </font>
    <font>
      <b/>
      <sz val="10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b/>
      <vertAlign val="subscript"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6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u/>
      <sz val="11"/>
      <color rgb="FFFFFF0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vertAlign val="subscript"/>
      <sz val="9"/>
      <color theme="1"/>
      <name val="Calibri"/>
      <family val="2"/>
    </font>
    <font>
      <b/>
      <sz val="11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6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7030A0"/>
      <name val="Calibri"/>
      <family val="2"/>
      <scheme val="minor"/>
    </font>
    <font>
      <sz val="8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FC2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FFFF00"/>
      </left>
      <right/>
      <top/>
      <bottom style="medium">
        <color indexed="64"/>
      </bottom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medium">
        <color theme="1"/>
      </right>
      <top style="thin">
        <color rgb="FFFFFF00"/>
      </top>
      <bottom style="medium">
        <color theme="1"/>
      </bottom>
      <diagonal/>
    </border>
    <border>
      <left style="thin">
        <color rgb="FFFFFF00"/>
      </left>
      <right/>
      <top style="thin">
        <color rgb="FFFFFF00"/>
      </top>
      <bottom style="medium">
        <color theme="1"/>
      </bottom>
      <diagonal/>
    </border>
    <border>
      <left style="thin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ck">
        <color theme="0" tint="-0.249977111117893"/>
      </top>
      <bottom/>
      <diagonal/>
    </border>
    <border>
      <left style="thick">
        <color theme="0" tint="-0.249977111117893"/>
      </left>
      <right/>
      <top style="thick">
        <color theme="0" tint="-0.249977111117893"/>
      </top>
      <bottom/>
      <diagonal/>
    </border>
    <border>
      <left/>
      <right/>
      <top style="thick">
        <color theme="1"/>
      </top>
      <bottom/>
      <diagonal/>
    </border>
    <border>
      <left/>
      <right style="medium">
        <color indexed="64"/>
      </right>
      <top style="thick">
        <color theme="0" tint="-0.249977111117893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center"/>
    </xf>
    <xf numFmtId="2" fontId="2" fillId="0" borderId="2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2" fillId="0" borderId="0" xfId="0" applyNumberFormat="1" applyFont="1"/>
    <xf numFmtId="0" fontId="2" fillId="3" borderId="0" xfId="0" applyFont="1" applyFill="1"/>
    <xf numFmtId="2" fontId="2" fillId="0" borderId="5" xfId="0" applyNumberFormat="1" applyFont="1" applyBorder="1"/>
    <xf numFmtId="0" fontId="3" fillId="0" borderId="0" xfId="0" applyFont="1" applyAlignment="1">
      <alignment horizontal="center"/>
    </xf>
    <xf numFmtId="2" fontId="8" fillId="0" borderId="2" xfId="0" applyNumberFormat="1" applyFont="1" applyBorder="1"/>
    <xf numFmtId="0" fontId="9" fillId="3" borderId="0" xfId="0" applyFont="1" applyFill="1" applyAlignment="1">
      <alignment horizontal="center"/>
    </xf>
    <xf numFmtId="164" fontId="2" fillId="0" borderId="2" xfId="0" applyNumberFormat="1" applyFont="1" applyBorder="1"/>
    <xf numFmtId="0" fontId="2" fillId="6" borderId="0" xfId="0" applyFont="1" applyFill="1"/>
    <xf numFmtId="0" fontId="2" fillId="6" borderId="4" xfId="0" applyFont="1" applyFill="1" applyBorder="1"/>
    <xf numFmtId="0" fontId="2" fillId="7" borderId="0" xfId="0" applyFont="1" applyFill="1"/>
    <xf numFmtId="0" fontId="2" fillId="7" borderId="1" xfId="0" applyFont="1" applyFill="1" applyBorder="1"/>
    <xf numFmtId="0" fontId="2" fillId="6" borderId="1" xfId="0" applyFont="1" applyFill="1" applyBorder="1"/>
    <xf numFmtId="0" fontId="2" fillId="0" borderId="0" xfId="0" applyFont="1" applyAlignment="1">
      <alignment horizontal="center"/>
    </xf>
    <xf numFmtId="2" fontId="2" fillId="0" borderId="7" xfId="0" applyNumberFormat="1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2" fontId="2" fillId="0" borderId="8" xfId="0" applyNumberFormat="1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2" fillId="8" borderId="2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2" fontId="2" fillId="0" borderId="15" xfId="0" applyNumberFormat="1" applyFont="1" applyBorder="1"/>
    <xf numFmtId="0" fontId="2" fillId="0" borderId="16" xfId="0" applyFont="1" applyBorder="1"/>
    <xf numFmtId="0" fontId="1" fillId="11" borderId="13" xfId="0" applyFont="1" applyFill="1" applyBorder="1"/>
    <xf numFmtId="0" fontId="1" fillId="11" borderId="9" xfId="0" applyFont="1" applyFill="1" applyBorder="1"/>
    <xf numFmtId="0" fontId="1" fillId="11" borderId="10" xfId="0" applyFont="1" applyFill="1" applyBorder="1"/>
    <xf numFmtId="0" fontId="2" fillId="0" borderId="18" xfId="0" applyFont="1" applyBorder="1"/>
    <xf numFmtId="0" fontId="2" fillId="0" borderId="13" xfId="0" applyFont="1" applyBorder="1"/>
    <xf numFmtId="0" fontId="19" fillId="3" borderId="0" xfId="0" applyFont="1" applyFill="1" applyAlignment="1">
      <alignment horizontal="center"/>
    </xf>
    <xf numFmtId="166" fontId="2" fillId="0" borderId="0" xfId="0" applyNumberFormat="1" applyFont="1"/>
    <xf numFmtId="0" fontId="2" fillId="14" borderId="0" xfId="0" applyFont="1" applyFill="1"/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2" fontId="2" fillId="0" borderId="19" xfId="0" applyNumberFormat="1" applyFont="1" applyBorder="1"/>
    <xf numFmtId="0" fontId="1" fillId="0" borderId="19" xfId="0" applyFont="1" applyBorder="1"/>
    <xf numFmtId="0" fontId="2" fillId="14" borderId="23" xfId="0" applyFont="1" applyFill="1" applyBorder="1"/>
    <xf numFmtId="0" fontId="2" fillId="14" borderId="24" xfId="0" applyFont="1" applyFill="1" applyBorder="1"/>
    <xf numFmtId="0" fontId="2" fillId="14" borderId="25" xfId="0" applyFont="1" applyFill="1" applyBorder="1"/>
    <xf numFmtId="0" fontId="2" fillId="14" borderId="27" xfId="0" applyFont="1" applyFill="1" applyBorder="1"/>
    <xf numFmtId="0" fontId="2" fillId="12" borderId="28" xfId="0" applyFont="1" applyFill="1" applyBorder="1" applyAlignment="1">
      <alignment horizontal="center"/>
    </xf>
    <xf numFmtId="0" fontId="2" fillId="12" borderId="29" xfId="0" applyFont="1" applyFill="1" applyBorder="1" applyAlignment="1">
      <alignment horizontal="center"/>
    </xf>
    <xf numFmtId="0" fontId="2" fillId="12" borderId="29" xfId="0" applyFont="1" applyFill="1" applyBorder="1"/>
    <xf numFmtId="0" fontId="2" fillId="12" borderId="22" xfId="0" applyFont="1" applyFill="1" applyBorder="1" applyAlignment="1">
      <alignment horizontal="center"/>
    </xf>
    <xf numFmtId="0" fontId="2" fillId="0" borderId="30" xfId="0" applyFont="1" applyBorder="1" applyAlignment="1">
      <alignment horizontal="right"/>
    </xf>
    <xf numFmtId="2" fontId="2" fillId="0" borderId="24" xfId="0" applyNumberFormat="1" applyFont="1" applyBorder="1"/>
    <xf numFmtId="0" fontId="2" fillId="0" borderId="31" xfId="0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2" fontId="2" fillId="0" borderId="32" xfId="0" applyNumberFormat="1" applyFont="1" applyBorder="1"/>
    <xf numFmtId="2" fontId="2" fillId="0" borderId="27" xfId="0" applyNumberFormat="1" applyFont="1" applyBorder="1"/>
    <xf numFmtId="0" fontId="2" fillId="12" borderId="35" xfId="0" applyFont="1" applyFill="1" applyBorder="1"/>
    <xf numFmtId="0" fontId="2" fillId="12" borderId="36" xfId="0" applyFont="1" applyFill="1" applyBorder="1"/>
    <xf numFmtId="0" fontId="2" fillId="12" borderId="39" xfId="0" applyFont="1" applyFill="1" applyBorder="1"/>
    <xf numFmtId="0" fontId="2" fillId="0" borderId="39" xfId="0" applyFont="1" applyBorder="1"/>
    <xf numFmtId="0" fontId="15" fillId="14" borderId="23" xfId="1" applyFill="1" applyBorder="1"/>
    <xf numFmtId="2" fontId="2" fillId="0" borderId="41" xfId="0" applyNumberFormat="1" applyFont="1" applyBorder="1"/>
    <xf numFmtId="2" fontId="2" fillId="0" borderId="42" xfId="0" applyNumberFormat="1" applyFont="1" applyBorder="1"/>
    <xf numFmtId="0" fontId="3" fillId="12" borderId="43" xfId="0" applyFont="1" applyFill="1" applyBorder="1" applyAlignment="1">
      <alignment horizontal="center"/>
    </xf>
    <xf numFmtId="2" fontId="2" fillId="15" borderId="44" xfId="0" applyNumberFormat="1" applyFont="1" applyFill="1" applyBorder="1"/>
    <xf numFmtId="2" fontId="2" fillId="15" borderId="45" xfId="0" applyNumberFormat="1" applyFont="1" applyFill="1" applyBorder="1"/>
    <xf numFmtId="2" fontId="2" fillId="0" borderId="30" xfId="0" applyNumberFormat="1" applyFont="1" applyBorder="1"/>
    <xf numFmtId="2" fontId="2" fillId="0" borderId="31" xfId="0" applyNumberFormat="1" applyFont="1" applyBorder="1"/>
    <xf numFmtId="0" fontId="3" fillId="12" borderId="40" xfId="0" applyFont="1" applyFill="1" applyBorder="1" applyAlignment="1">
      <alignment horizontal="center"/>
    </xf>
    <xf numFmtId="11" fontId="25" fillId="12" borderId="36" xfId="0" applyNumberFormat="1" applyFont="1" applyFill="1" applyBorder="1"/>
    <xf numFmtId="0" fontId="2" fillId="12" borderId="37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32" xfId="0" applyNumberFormat="1" applyFont="1" applyBorder="1" applyAlignment="1">
      <alignment horizontal="center"/>
    </xf>
    <xf numFmtId="0" fontId="2" fillId="12" borderId="26" xfId="0" applyFont="1" applyFill="1" applyBorder="1"/>
    <xf numFmtId="0" fontId="2" fillId="12" borderId="47" xfId="0" applyFont="1" applyFill="1" applyBorder="1" applyAlignment="1">
      <alignment horizontal="center"/>
    </xf>
    <xf numFmtId="0" fontId="26" fillId="12" borderId="26" xfId="0" applyFont="1" applyFill="1" applyBorder="1"/>
    <xf numFmtId="0" fontId="27" fillId="12" borderId="38" xfId="0" applyFont="1" applyFill="1" applyBorder="1"/>
    <xf numFmtId="0" fontId="28" fillId="4" borderId="0" xfId="0" applyFont="1" applyFill="1" applyAlignment="1">
      <alignment horizontal="right"/>
    </xf>
    <xf numFmtId="0" fontId="28" fillId="4" borderId="0" xfId="0" applyFont="1" applyFill="1" applyAlignment="1">
      <alignment horizontal="center"/>
    </xf>
    <xf numFmtId="0" fontId="28" fillId="4" borderId="0" xfId="0" applyFont="1" applyFill="1"/>
    <xf numFmtId="0" fontId="29" fillId="4" borderId="0" xfId="0" applyFont="1" applyFill="1"/>
    <xf numFmtId="166" fontId="28" fillId="4" borderId="0" xfId="0" applyNumberFormat="1" applyFont="1" applyFill="1"/>
    <xf numFmtId="0" fontId="2" fillId="2" borderId="33" xfId="0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0" fontId="2" fillId="0" borderId="36" xfId="0" applyFont="1" applyBorder="1" applyProtection="1">
      <protection locked="0"/>
    </xf>
    <xf numFmtId="0" fontId="2" fillId="0" borderId="0" xfId="0" applyFont="1" applyProtection="1">
      <protection locked="0"/>
    </xf>
    <xf numFmtId="0" fontId="8" fillId="6" borderId="39" xfId="0" applyFont="1" applyFill="1" applyBorder="1"/>
    <xf numFmtId="0" fontId="19" fillId="6" borderId="39" xfId="0" applyFont="1" applyFill="1" applyBorder="1" applyAlignment="1">
      <alignment horizontal="center"/>
    </xf>
    <xf numFmtId="0" fontId="19" fillId="12" borderId="39" xfId="0" applyFont="1" applyFill="1" applyBorder="1" applyAlignment="1">
      <alignment horizontal="center"/>
    </xf>
    <xf numFmtId="0" fontId="2" fillId="0" borderId="41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14" fillId="0" borderId="0" xfId="0" applyFont="1"/>
    <xf numFmtId="2" fontId="14" fillId="0" borderId="0" xfId="0" applyNumberFormat="1" applyFont="1"/>
    <xf numFmtId="164" fontId="14" fillId="0" borderId="0" xfId="0" applyNumberFormat="1" applyFont="1"/>
    <xf numFmtId="2" fontId="14" fillId="5" borderId="0" xfId="0" applyNumberFormat="1" applyFont="1" applyFill="1"/>
    <xf numFmtId="166" fontId="4" fillId="0" borderId="0" xfId="0" applyNumberFormat="1" applyFont="1"/>
    <xf numFmtId="0" fontId="30" fillId="13" borderId="46" xfId="0" applyFont="1" applyFill="1" applyBorder="1"/>
    <xf numFmtId="0" fontId="8" fillId="12" borderId="0" xfId="0" applyFont="1" applyFill="1"/>
    <xf numFmtId="0" fontId="19" fillId="12" borderId="0" xfId="0" applyFont="1" applyFill="1" applyAlignment="1">
      <alignment horizontal="center"/>
    </xf>
    <xf numFmtId="0" fontId="8" fillId="6" borderId="0" xfId="0" applyFont="1" applyFill="1"/>
    <xf numFmtId="0" fontId="19" fillId="6" borderId="0" xfId="0" applyFont="1" applyFill="1" applyAlignment="1">
      <alignment horizontal="center"/>
    </xf>
    <xf numFmtId="0" fontId="20" fillId="6" borderId="39" xfId="0" applyFont="1" applyFill="1" applyBorder="1" applyAlignment="1">
      <alignment horizontal="center"/>
    </xf>
    <xf numFmtId="166" fontId="8" fillId="2" borderId="39" xfId="0" applyNumberFormat="1" applyFont="1" applyFill="1" applyBorder="1" applyProtection="1">
      <protection locked="0"/>
    </xf>
    <xf numFmtId="165" fontId="19" fillId="6" borderId="33" xfId="0" applyNumberFormat="1" applyFont="1" applyFill="1" applyBorder="1"/>
    <xf numFmtId="0" fontId="19" fillId="12" borderId="39" xfId="0" applyFont="1" applyFill="1" applyBorder="1"/>
    <xf numFmtId="0" fontId="8" fillId="0" borderId="0" xfId="0" applyFont="1"/>
    <xf numFmtId="0" fontId="19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20" fillId="0" borderId="0" xfId="0" applyFont="1" applyAlignment="1">
      <alignment horizontal="center"/>
    </xf>
    <xf numFmtId="166" fontId="8" fillId="0" borderId="0" xfId="0" applyNumberFormat="1" applyFont="1" applyProtection="1">
      <protection locked="0"/>
    </xf>
    <xf numFmtId="10" fontId="8" fillId="0" borderId="0" xfId="0" applyNumberFormat="1" applyFont="1" applyAlignment="1">
      <alignment horizontal="left"/>
    </xf>
    <xf numFmtId="10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19" fillId="0" borderId="0" xfId="0" applyFont="1"/>
    <xf numFmtId="165" fontId="19" fillId="0" borderId="0" xfId="0" applyNumberFormat="1" applyFont="1"/>
    <xf numFmtId="165" fontId="8" fillId="0" borderId="0" xfId="0" applyNumberFormat="1" applyFont="1"/>
    <xf numFmtId="10" fontId="8" fillId="0" borderId="0" xfId="0" quotePrefix="1" applyNumberFormat="1" applyFont="1" applyAlignment="1">
      <alignment horizontal="left"/>
    </xf>
    <xf numFmtId="0" fontId="8" fillId="0" borderId="0" xfId="0" quotePrefix="1" applyFont="1"/>
    <xf numFmtId="165" fontId="19" fillId="12" borderId="39" xfId="0" applyNumberFormat="1" applyFont="1" applyFill="1" applyBorder="1"/>
    <xf numFmtId="165" fontId="8" fillId="6" borderId="39" xfId="0" applyNumberFormat="1" applyFont="1" applyFill="1" applyBorder="1"/>
    <xf numFmtId="0" fontId="8" fillId="6" borderId="33" xfId="0" applyFont="1" applyFill="1" applyBorder="1"/>
    <xf numFmtId="0" fontId="8" fillId="13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20" fillId="12" borderId="0" xfId="0" applyFont="1" applyFill="1" applyAlignment="1">
      <alignment horizontal="center"/>
    </xf>
    <xf numFmtId="166" fontId="8" fillId="13" borderId="0" xfId="0" applyNumberFormat="1" applyFont="1" applyFill="1" applyProtection="1">
      <protection locked="0"/>
    </xf>
    <xf numFmtId="9" fontId="2" fillId="6" borderId="0" xfId="0" applyNumberFormat="1" applyFont="1" applyFill="1" applyAlignment="1">
      <alignment horizontal="left"/>
    </xf>
    <xf numFmtId="166" fontId="8" fillId="2" borderId="0" xfId="0" applyNumberFormat="1" applyFont="1" applyFill="1" applyProtection="1">
      <protection locked="0"/>
    </xf>
    <xf numFmtId="9" fontId="2" fillId="0" borderId="0" xfId="0" applyNumberFormat="1" applyFont="1" applyAlignment="1">
      <alignment horizontal="left"/>
    </xf>
    <xf numFmtId="2" fontId="30" fillId="13" borderId="23" xfId="0" applyNumberFormat="1" applyFont="1" applyFill="1" applyBorder="1"/>
    <xf numFmtId="0" fontId="30" fillId="13" borderId="0" xfId="0" applyFont="1" applyFill="1"/>
    <xf numFmtId="0" fontId="19" fillId="12" borderId="0" xfId="0" applyFont="1" applyFill="1"/>
    <xf numFmtId="9" fontId="2" fillId="7" borderId="0" xfId="0" applyNumberFormat="1" applyFont="1" applyFill="1" applyAlignment="1">
      <alignment horizontal="left"/>
    </xf>
    <xf numFmtId="165" fontId="8" fillId="6" borderId="0" xfId="0" applyNumberFormat="1" applyFont="1" applyFill="1"/>
    <xf numFmtId="165" fontId="30" fillId="13" borderId="0" xfId="0" applyNumberFormat="1" applyFont="1" applyFill="1"/>
    <xf numFmtId="165" fontId="8" fillId="12" borderId="0" xfId="0" applyNumberFormat="1" applyFont="1" applyFill="1"/>
    <xf numFmtId="0" fontId="24" fillId="0" borderId="23" xfId="1" applyFont="1" applyBorder="1"/>
    <xf numFmtId="9" fontId="2" fillId="12" borderId="0" xfId="0" applyNumberFormat="1" applyFont="1" applyFill="1" applyAlignment="1">
      <alignment horizontal="left"/>
    </xf>
    <xf numFmtId="0" fontId="19" fillId="6" borderId="0" xfId="0" applyFont="1" applyFill="1"/>
    <xf numFmtId="0" fontId="2" fillId="0" borderId="26" xfId="0" applyFont="1" applyBorder="1"/>
    <xf numFmtId="0" fontId="2" fillId="16" borderId="23" xfId="0" applyFont="1" applyFill="1" applyBorder="1"/>
    <xf numFmtId="0" fontId="2" fillId="16" borderId="0" xfId="0" applyFont="1" applyFill="1"/>
    <xf numFmtId="0" fontId="3" fillId="16" borderId="23" xfId="0" applyFont="1" applyFill="1" applyBorder="1" applyAlignment="1">
      <alignment horizontal="center"/>
    </xf>
    <xf numFmtId="2" fontId="2" fillId="16" borderId="0" xfId="0" applyNumberFormat="1" applyFont="1" applyFill="1"/>
    <xf numFmtId="0" fontId="2" fillId="16" borderId="23" xfId="0" applyFont="1" applyFill="1" applyBorder="1" applyAlignment="1">
      <alignment horizontal="center"/>
    </xf>
    <xf numFmtId="0" fontId="3" fillId="16" borderId="25" xfId="0" applyFont="1" applyFill="1" applyBorder="1" applyAlignment="1">
      <alignment horizontal="center"/>
    </xf>
    <xf numFmtId="2" fontId="2" fillId="16" borderId="26" xfId="0" applyNumberFormat="1" applyFont="1" applyFill="1" applyBorder="1"/>
    <xf numFmtId="0" fontId="2" fillId="16" borderId="26" xfId="0" applyFont="1" applyFill="1" applyBorder="1"/>
    <xf numFmtId="0" fontId="2" fillId="16" borderId="27" xfId="0" applyFont="1" applyFill="1" applyBorder="1"/>
    <xf numFmtId="0" fontId="2" fillId="16" borderId="24" xfId="0" applyFont="1" applyFill="1" applyBorder="1"/>
    <xf numFmtId="0" fontId="26" fillId="16" borderId="26" xfId="0" applyFont="1" applyFill="1" applyBorder="1"/>
    <xf numFmtId="0" fontId="2" fillId="0" borderId="21" xfId="0" applyFont="1" applyBorder="1"/>
    <xf numFmtId="2" fontId="2" fillId="0" borderId="22" xfId="0" applyNumberFormat="1" applyFont="1" applyBorder="1"/>
    <xf numFmtId="0" fontId="2" fillId="0" borderId="23" xfId="0" applyFont="1" applyBorder="1"/>
    <xf numFmtId="0" fontId="2" fillId="0" borderId="25" xfId="0" applyFont="1" applyBorder="1"/>
    <xf numFmtId="0" fontId="15" fillId="17" borderId="0" xfId="1" applyFill="1" applyBorder="1"/>
    <xf numFmtId="0" fontId="15" fillId="16" borderId="0" xfId="1" applyFill="1"/>
    <xf numFmtId="2" fontId="8" fillId="0" borderId="3" xfId="0" applyNumberFormat="1" applyFont="1" applyBorder="1"/>
    <xf numFmtId="2" fontId="1" fillId="0" borderId="2" xfId="0" applyNumberFormat="1" applyFont="1" applyBorder="1"/>
    <xf numFmtId="2" fontId="2" fillId="18" borderId="0" xfId="0" applyNumberFormat="1" applyFont="1" applyFill="1" applyProtection="1">
      <protection locked="0"/>
    </xf>
    <xf numFmtId="0" fontId="4" fillId="18" borderId="0" xfId="0" applyFont="1" applyFill="1"/>
    <xf numFmtId="0" fontId="2" fillId="18" borderId="0" xfId="0" applyFont="1" applyFill="1"/>
    <xf numFmtId="0" fontId="5" fillId="18" borderId="0" xfId="0" applyFont="1" applyFill="1"/>
    <xf numFmtId="0" fontId="3" fillId="18" borderId="0" xfId="0" applyFont="1" applyFill="1" applyAlignment="1">
      <alignment horizontal="center"/>
    </xf>
    <xf numFmtId="2" fontId="2" fillId="18" borderId="0" xfId="0" applyNumberFormat="1" applyFont="1" applyFill="1"/>
    <xf numFmtId="2" fontId="33" fillId="18" borderId="0" xfId="0" applyNumberFormat="1" applyFont="1" applyFill="1" applyProtection="1">
      <protection locked="0"/>
    </xf>
    <xf numFmtId="0" fontId="33" fillId="18" borderId="0" xfId="0" applyFont="1" applyFill="1"/>
    <xf numFmtId="2" fontId="14" fillId="0" borderId="51" xfId="0" applyNumberFormat="1" applyFont="1" applyBorder="1"/>
    <xf numFmtId="2" fontId="14" fillId="0" borderId="53" xfId="0" applyNumberFormat="1" applyFont="1" applyBorder="1"/>
    <xf numFmtId="2" fontId="14" fillId="0" borderId="48" xfId="0" applyNumberFormat="1" applyFont="1" applyBorder="1"/>
    <xf numFmtId="2" fontId="14" fillId="0" borderId="52" xfId="0" applyNumberFormat="1" applyFont="1" applyBorder="1"/>
    <xf numFmtId="2" fontId="14" fillId="0" borderId="49" xfId="0" applyNumberFormat="1" applyFont="1" applyBorder="1"/>
    <xf numFmtId="2" fontId="14" fillId="0" borderId="54" xfId="0" applyNumberFormat="1" applyFont="1" applyBorder="1"/>
    <xf numFmtId="2" fontId="14" fillId="0" borderId="6" xfId="0" applyNumberFormat="1" applyFont="1" applyBorder="1"/>
    <xf numFmtId="2" fontId="14" fillId="0" borderId="50" xfId="0" applyNumberFormat="1" applyFont="1" applyBorder="1"/>
    <xf numFmtId="0" fontId="15" fillId="16" borderId="23" xfId="1" applyFill="1" applyBorder="1" applyAlignment="1">
      <alignment horizontal="center"/>
    </xf>
    <xf numFmtId="0" fontId="15" fillId="16" borderId="0" xfId="1" applyFill="1" applyBorder="1" applyAlignment="1">
      <alignment horizontal="center"/>
    </xf>
    <xf numFmtId="0" fontId="2" fillId="14" borderId="26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/>
    </xf>
    <xf numFmtId="0" fontId="23" fillId="4" borderId="21" xfId="0" applyFont="1" applyFill="1" applyBorder="1" applyAlignment="1">
      <alignment horizontal="center"/>
    </xf>
    <xf numFmtId="0" fontId="23" fillId="4" borderId="22" xfId="0" applyFont="1" applyFill="1" applyBorder="1" applyAlignment="1">
      <alignment horizontal="center"/>
    </xf>
    <xf numFmtId="0" fontId="23" fillId="4" borderId="23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2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3" fillId="4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22" fillId="4" borderId="20" xfId="0" applyFont="1" applyFill="1" applyBorder="1" applyAlignment="1">
      <alignment horizontal="center"/>
    </xf>
    <xf numFmtId="0" fontId="22" fillId="4" borderId="21" xfId="0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3" fillId="18" borderId="0" xfId="0" applyFont="1" applyFill="1" applyAlignment="1">
      <alignment horizontal="center"/>
    </xf>
    <xf numFmtId="0" fontId="4" fillId="19" borderId="0" xfId="0" applyFont="1" applyFill="1"/>
    <xf numFmtId="0" fontId="7" fillId="19" borderId="0" xfId="0" applyFont="1" applyFill="1" applyAlignment="1">
      <alignment horizontal="left"/>
    </xf>
    <xf numFmtId="2" fontId="2" fillId="19" borderId="0" xfId="0" applyNumberFormat="1" applyFont="1" applyFill="1"/>
    <xf numFmtId="0" fontId="2" fillId="19" borderId="0" xfId="0" applyFont="1" applyFill="1"/>
    <xf numFmtId="2" fontId="17" fillId="19" borderId="0" xfId="1" applyNumberFormat="1" applyFont="1" applyFill="1"/>
    <xf numFmtId="0" fontId="6" fillId="20" borderId="0" xfId="0" applyFont="1" applyFill="1" applyAlignment="1">
      <alignment horizontal="center"/>
    </xf>
    <xf numFmtId="0" fontId="4" fillId="20" borderId="0" xfId="0" applyFont="1" applyFill="1" applyAlignment="1">
      <alignment horizontal="left"/>
    </xf>
    <xf numFmtId="0" fontId="2" fillId="0" borderId="0" xfId="0" applyFont="1" applyBorder="1"/>
    <xf numFmtId="0" fontId="3" fillId="0" borderId="0" xfId="0" applyFont="1"/>
    <xf numFmtId="0" fontId="2" fillId="18" borderId="0" xfId="0" applyFont="1" applyFill="1" applyBorder="1"/>
    <xf numFmtId="0" fontId="7" fillId="19" borderId="0" xfId="0" applyFont="1" applyFill="1" applyAlignment="1">
      <alignment horizontal="right"/>
    </xf>
    <xf numFmtId="0" fontId="2" fillId="0" borderId="6" xfId="0" applyFont="1" applyBorder="1"/>
    <xf numFmtId="0" fontId="1" fillId="7" borderId="51" xfId="0" applyFont="1" applyFill="1" applyBorder="1"/>
    <xf numFmtId="0" fontId="2" fillId="7" borderId="53" xfId="0" applyFont="1" applyFill="1" applyBorder="1"/>
    <xf numFmtId="0" fontId="2" fillId="7" borderId="48" xfId="0" applyFont="1" applyFill="1" applyBorder="1"/>
    <xf numFmtId="0" fontId="1" fillId="7" borderId="52" xfId="0" applyFont="1" applyFill="1" applyBorder="1"/>
    <xf numFmtId="0" fontId="2" fillId="7" borderId="0" xfId="0" applyFont="1" applyFill="1" applyBorder="1"/>
    <xf numFmtId="0" fontId="2" fillId="7" borderId="49" xfId="0" applyFont="1" applyFill="1" applyBorder="1"/>
    <xf numFmtId="0" fontId="1" fillId="7" borderId="54" xfId="0" applyFont="1" applyFill="1" applyBorder="1"/>
    <xf numFmtId="0" fontId="2" fillId="7" borderId="6" xfId="0" applyFont="1" applyFill="1" applyBorder="1"/>
    <xf numFmtId="0" fontId="2" fillId="7" borderId="50" xfId="0" applyFont="1" applyFill="1" applyBorder="1"/>
    <xf numFmtId="0" fontId="3" fillId="7" borderId="23" xfId="0" applyFont="1" applyFill="1" applyBorder="1"/>
    <xf numFmtId="0" fontId="2" fillId="7" borderId="21" xfId="0" applyFont="1" applyFill="1" applyBorder="1"/>
    <xf numFmtId="0" fontId="3" fillId="7" borderId="11" xfId="0" applyFont="1" applyFill="1" applyBorder="1"/>
    <xf numFmtId="0" fontId="2" fillId="7" borderId="8" xfId="0" applyFont="1" applyFill="1" applyBorder="1"/>
    <xf numFmtId="0" fontId="2" fillId="7" borderId="41" xfId="0" applyFont="1" applyFill="1" applyBorder="1"/>
    <xf numFmtId="0" fontId="3" fillId="7" borderId="0" xfId="0" applyFont="1" applyFill="1" applyAlignment="1">
      <alignment horizontal="right"/>
    </xf>
    <xf numFmtId="0" fontId="3" fillId="7" borderId="1" xfId="0" applyFont="1" applyFill="1" applyBorder="1" applyAlignment="1">
      <alignment horizontal="right"/>
    </xf>
    <xf numFmtId="0" fontId="3" fillId="7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3" fillId="7" borderId="8" xfId="0" applyFont="1" applyFill="1" applyBorder="1" applyAlignment="1">
      <alignment horizontal="center"/>
    </xf>
    <xf numFmtId="2" fontId="2" fillId="7" borderId="8" xfId="0" applyNumberFormat="1" applyFont="1" applyFill="1" applyBorder="1"/>
    <xf numFmtId="0" fontId="3" fillId="7" borderId="21" xfId="0" applyFont="1" applyFill="1" applyBorder="1" applyAlignment="1">
      <alignment horizontal="center"/>
    </xf>
    <xf numFmtId="2" fontId="2" fillId="7" borderId="21" xfId="0" applyNumberFormat="1" applyFont="1" applyFill="1" applyBorder="1"/>
    <xf numFmtId="0" fontId="3" fillId="7" borderId="11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2" fillId="7" borderId="10" xfId="0" applyFont="1" applyFill="1" applyBorder="1"/>
    <xf numFmtId="0" fontId="2" fillId="7" borderId="9" xfId="0" applyFont="1" applyFill="1" applyBorder="1"/>
    <xf numFmtId="2" fontId="1" fillId="13" borderId="23" xfId="0" applyNumberFormat="1" applyFont="1" applyFill="1" applyBorder="1"/>
    <xf numFmtId="0" fontId="1" fillId="13" borderId="23" xfId="0" applyFont="1" applyFill="1" applyBorder="1"/>
    <xf numFmtId="0" fontId="2" fillId="0" borderId="54" xfId="0" applyFont="1" applyBorder="1"/>
    <xf numFmtId="0" fontId="1" fillId="11" borderId="55" xfId="0" applyFont="1" applyFill="1" applyBorder="1"/>
    <xf numFmtId="0" fontId="4" fillId="18" borderId="6" xfId="0" applyFont="1" applyFill="1" applyBorder="1"/>
    <xf numFmtId="0" fontId="2" fillId="18" borderId="6" xfId="0" applyFont="1" applyFill="1" applyBorder="1"/>
    <xf numFmtId="0" fontId="2" fillId="18" borderId="56" xfId="0" applyFont="1" applyFill="1" applyBorder="1"/>
    <xf numFmtId="0" fontId="2" fillId="18" borderId="57" xfId="0" applyFont="1" applyFill="1" applyBorder="1"/>
    <xf numFmtId="0" fontId="4" fillId="18" borderId="58" xfId="0" applyFont="1" applyFill="1" applyBorder="1"/>
    <xf numFmtId="0" fontId="2" fillId="18" borderId="59" xfId="0" applyFont="1" applyFill="1" applyBorder="1"/>
    <xf numFmtId="0" fontId="2" fillId="18" borderId="41" xfId="0" applyFont="1" applyFill="1" applyBorder="1"/>
    <xf numFmtId="0" fontId="3" fillId="18" borderId="59" xfId="0" applyFont="1" applyFill="1" applyBorder="1" applyAlignment="1">
      <alignment horizontal="center"/>
    </xf>
    <xf numFmtId="0" fontId="2" fillId="18" borderId="46" xfId="0" applyFont="1" applyFill="1" applyBorder="1"/>
    <xf numFmtId="0" fontId="32" fillId="13" borderId="60" xfId="1" applyFont="1" applyFill="1" applyBorder="1" applyAlignment="1">
      <alignment horizontal="center"/>
    </xf>
    <xf numFmtId="0" fontId="32" fillId="13" borderId="61" xfId="1" applyFont="1" applyFill="1" applyBorder="1" applyAlignment="1">
      <alignment horizontal="center"/>
    </xf>
    <xf numFmtId="0" fontId="31" fillId="13" borderId="62" xfId="1" applyFont="1" applyFill="1" applyBorder="1" applyAlignment="1">
      <alignment horizontal="center"/>
    </xf>
    <xf numFmtId="0" fontId="2" fillId="18" borderId="36" xfId="0" applyFont="1" applyFill="1" applyBorder="1"/>
    <xf numFmtId="0" fontId="31" fillId="13" borderId="63" xfId="1" applyFont="1" applyFill="1" applyBorder="1" applyAlignment="1">
      <alignment horizontal="center"/>
    </xf>
    <xf numFmtId="0" fontId="22" fillId="18" borderId="0" xfId="0" applyFont="1" applyFill="1" applyBorder="1" applyAlignment="1">
      <alignment horizontal="center"/>
    </xf>
    <xf numFmtId="164" fontId="8" fillId="2" borderId="2" xfId="0" applyNumberFormat="1" applyFont="1" applyFill="1" applyBorder="1" applyProtection="1">
      <protection locked="0"/>
    </xf>
    <xf numFmtId="0" fontId="26" fillId="0" borderId="0" xfId="0" applyFont="1" applyAlignment="1">
      <alignment horizontal="left"/>
    </xf>
    <xf numFmtId="0" fontId="26" fillId="0" borderId="9" xfId="0" applyFont="1" applyBorder="1" applyAlignment="1">
      <alignment horizontal="left"/>
    </xf>
    <xf numFmtId="0" fontId="8" fillId="7" borderId="1" xfId="0" applyFont="1" applyFill="1" applyBorder="1"/>
    <xf numFmtId="0" fontId="2" fillId="0" borderId="64" xfId="0" applyFont="1" applyBorder="1"/>
    <xf numFmtId="0" fontId="1" fillId="10" borderId="66" xfId="0" applyFont="1" applyFill="1" applyBorder="1" applyAlignment="1">
      <alignment horizontal="center"/>
    </xf>
    <xf numFmtId="0" fontId="2" fillId="18" borderId="67" xfId="0" applyFont="1" applyFill="1" applyBorder="1"/>
    <xf numFmtId="0" fontId="1" fillId="10" borderId="68" xfId="0" applyFont="1" applyFill="1" applyBorder="1" applyAlignment="1">
      <alignment horizontal="center"/>
    </xf>
    <xf numFmtId="0" fontId="1" fillId="10" borderId="6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DATOS!$AL$3</c:f>
              <c:strCache>
                <c:ptCount val="1"/>
                <c:pt idx="0">
                  <c:v>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DATOS!$AK$4:$AK$17</c:f>
              <c:numCache>
                <c:formatCode>0.00</c:formatCode>
                <c:ptCount val="14"/>
                <c:pt idx="0">
                  <c:v>0</c:v>
                </c:pt>
                <c:pt idx="1">
                  <c:v>2.581989672068629E-7</c:v>
                </c:pt>
                <c:pt idx="2">
                  <c:v>0.43033161201143821</c:v>
                </c:pt>
                <c:pt idx="3">
                  <c:v>0.43033187021040542</c:v>
                </c:pt>
                <c:pt idx="4">
                  <c:v>0.86066322402287643</c:v>
                </c:pt>
                <c:pt idx="5">
                  <c:v>0.86066348222184363</c:v>
                </c:pt>
                <c:pt idx="6">
                  <c:v>1.2909948360343146</c:v>
                </c:pt>
                <c:pt idx="7">
                  <c:v>1.290995094233282</c:v>
                </c:pt>
                <c:pt idx="8">
                  <c:v>1.7213264480457529</c:v>
                </c:pt>
                <c:pt idx="9">
                  <c:v>1.7213267062447202</c:v>
                </c:pt>
                <c:pt idx="10">
                  <c:v>2.1516580600571911</c:v>
                </c:pt>
                <c:pt idx="11">
                  <c:v>2.1516583182561582</c:v>
                </c:pt>
                <c:pt idx="12">
                  <c:v>2.5819896720686293</c:v>
                </c:pt>
                <c:pt idx="13">
                  <c:v>2.5819899302675964</c:v>
                </c:pt>
              </c:numCache>
            </c:numRef>
          </c:xVal>
          <c:yVal>
            <c:numRef>
              <c:f>DATOS!$AL$4:$AL$17</c:f>
              <c:numCache>
                <c:formatCode>0.00</c:formatCode>
                <c:ptCount val="14"/>
                <c:pt idx="0">
                  <c:v>0</c:v>
                </c:pt>
                <c:pt idx="1">
                  <c:v>77.459643686244775</c:v>
                </c:pt>
                <c:pt idx="2">
                  <c:v>0</c:v>
                </c:pt>
                <c:pt idx="3">
                  <c:v>77.459643686244775</c:v>
                </c:pt>
                <c:pt idx="4">
                  <c:v>0</c:v>
                </c:pt>
                <c:pt idx="5">
                  <c:v>77.459643686244775</c:v>
                </c:pt>
                <c:pt idx="6">
                  <c:v>0</c:v>
                </c:pt>
                <c:pt idx="7">
                  <c:v>77.459643686244775</c:v>
                </c:pt>
                <c:pt idx="8">
                  <c:v>0</c:v>
                </c:pt>
                <c:pt idx="9">
                  <c:v>77.459643686244775</c:v>
                </c:pt>
                <c:pt idx="10">
                  <c:v>0</c:v>
                </c:pt>
                <c:pt idx="11">
                  <c:v>77.459643686244775</c:v>
                </c:pt>
                <c:pt idx="12">
                  <c:v>0</c:v>
                </c:pt>
                <c:pt idx="13">
                  <c:v>77.459643686244775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30-4841-B032-FDBED7B6A11A}"/>
            </c:ext>
          </c:extLst>
        </c:ser>
        <c:ser>
          <c:idx val="1"/>
          <c:order val="1"/>
          <c:tx>
            <c:strRef>
              <c:f>DATOS!$AM$3</c:f>
              <c:strCache>
                <c:ptCount val="1"/>
                <c:pt idx="0">
                  <c:v>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DATOS!$AK$4:$AK$17</c:f>
              <c:numCache>
                <c:formatCode>0.00</c:formatCode>
                <c:ptCount val="14"/>
                <c:pt idx="0">
                  <c:v>0</c:v>
                </c:pt>
                <c:pt idx="1">
                  <c:v>2.581989672068629E-7</c:v>
                </c:pt>
                <c:pt idx="2">
                  <c:v>0.43033161201143821</c:v>
                </c:pt>
                <c:pt idx="3">
                  <c:v>0.43033187021040542</c:v>
                </c:pt>
                <c:pt idx="4">
                  <c:v>0.86066322402287643</c:v>
                </c:pt>
                <c:pt idx="5">
                  <c:v>0.86066348222184363</c:v>
                </c:pt>
                <c:pt idx="6">
                  <c:v>1.2909948360343146</c:v>
                </c:pt>
                <c:pt idx="7">
                  <c:v>1.290995094233282</c:v>
                </c:pt>
                <c:pt idx="8">
                  <c:v>1.7213264480457529</c:v>
                </c:pt>
                <c:pt idx="9">
                  <c:v>1.7213267062447202</c:v>
                </c:pt>
                <c:pt idx="10">
                  <c:v>2.1516580600571911</c:v>
                </c:pt>
                <c:pt idx="11">
                  <c:v>2.1516583182561582</c:v>
                </c:pt>
                <c:pt idx="12">
                  <c:v>2.5819896720686293</c:v>
                </c:pt>
                <c:pt idx="13">
                  <c:v>2.5819899302675964</c:v>
                </c:pt>
              </c:numCache>
            </c:numRef>
          </c:xVal>
          <c:yVal>
            <c:numRef>
              <c:f>DATOS!$AM$4:$AM$17</c:f>
              <c:numCache>
                <c:formatCode>0.00</c:formatCode>
                <c:ptCount val="14"/>
                <c:pt idx="0">
                  <c:v>3.42</c:v>
                </c:pt>
                <c:pt idx="1">
                  <c:v>3.42</c:v>
                </c:pt>
                <c:pt idx="2">
                  <c:v>3.42</c:v>
                </c:pt>
                <c:pt idx="3">
                  <c:v>3.42</c:v>
                </c:pt>
                <c:pt idx="4">
                  <c:v>3.42</c:v>
                </c:pt>
                <c:pt idx="5">
                  <c:v>3.42</c:v>
                </c:pt>
                <c:pt idx="6">
                  <c:v>3.42</c:v>
                </c:pt>
                <c:pt idx="7">
                  <c:v>3.42</c:v>
                </c:pt>
                <c:pt idx="8">
                  <c:v>3.42</c:v>
                </c:pt>
                <c:pt idx="9">
                  <c:v>3.42</c:v>
                </c:pt>
                <c:pt idx="10">
                  <c:v>3.42</c:v>
                </c:pt>
                <c:pt idx="11">
                  <c:v>3.42</c:v>
                </c:pt>
                <c:pt idx="12">
                  <c:v>3.42</c:v>
                </c:pt>
                <c:pt idx="13">
                  <c:v>3.42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30-4841-B032-FDBED7B6A11A}"/>
            </c:ext>
          </c:extLst>
        </c:ser>
        <c:ser>
          <c:idx val="2"/>
          <c:order val="2"/>
          <c:tx>
            <c:strRef>
              <c:f>DATOS!$AN$3</c:f>
              <c:strCache>
                <c:ptCount val="1"/>
                <c:pt idx="0">
                  <c:v>Q/2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DATOS!$AK$4:$AK$17</c:f>
              <c:numCache>
                <c:formatCode>0.00</c:formatCode>
                <c:ptCount val="14"/>
                <c:pt idx="0">
                  <c:v>0</c:v>
                </c:pt>
                <c:pt idx="1">
                  <c:v>2.581989672068629E-7</c:v>
                </c:pt>
                <c:pt idx="2">
                  <c:v>0.43033161201143821</c:v>
                </c:pt>
                <c:pt idx="3">
                  <c:v>0.43033187021040542</c:v>
                </c:pt>
                <c:pt idx="4">
                  <c:v>0.86066322402287643</c:v>
                </c:pt>
                <c:pt idx="5">
                  <c:v>0.86066348222184363</c:v>
                </c:pt>
                <c:pt idx="6">
                  <c:v>1.2909948360343146</c:v>
                </c:pt>
                <c:pt idx="7">
                  <c:v>1.290995094233282</c:v>
                </c:pt>
                <c:pt idx="8">
                  <c:v>1.7213264480457529</c:v>
                </c:pt>
                <c:pt idx="9">
                  <c:v>1.7213267062447202</c:v>
                </c:pt>
                <c:pt idx="10">
                  <c:v>2.1516580600571911</c:v>
                </c:pt>
                <c:pt idx="11">
                  <c:v>2.1516583182561582</c:v>
                </c:pt>
                <c:pt idx="12">
                  <c:v>2.5819896720686293</c:v>
                </c:pt>
                <c:pt idx="13">
                  <c:v>2.5819899302675964</c:v>
                </c:pt>
              </c:numCache>
            </c:numRef>
          </c:xVal>
          <c:yVal>
            <c:numRef>
              <c:f>DATOS!$AN$4:$AN$17</c:f>
              <c:numCache>
                <c:formatCode>0.00</c:formatCode>
                <c:ptCount val="14"/>
                <c:pt idx="0">
                  <c:v>38.729821843122387</c:v>
                </c:pt>
                <c:pt idx="1">
                  <c:v>38.729821843122387</c:v>
                </c:pt>
                <c:pt idx="2">
                  <c:v>38.729821843122387</c:v>
                </c:pt>
                <c:pt idx="3">
                  <c:v>38.729821843122387</c:v>
                </c:pt>
                <c:pt idx="4">
                  <c:v>38.729821843122387</c:v>
                </c:pt>
                <c:pt idx="5">
                  <c:v>38.729821843122387</c:v>
                </c:pt>
                <c:pt idx="6">
                  <c:v>38.729821843122387</c:v>
                </c:pt>
                <c:pt idx="7">
                  <c:v>38.729821843122387</c:v>
                </c:pt>
                <c:pt idx="8">
                  <c:v>38.729821843122387</c:v>
                </c:pt>
                <c:pt idx="9">
                  <c:v>38.729821843122387</c:v>
                </c:pt>
                <c:pt idx="10">
                  <c:v>38.729821843122387</c:v>
                </c:pt>
                <c:pt idx="11">
                  <c:v>38.729821843122387</c:v>
                </c:pt>
                <c:pt idx="12">
                  <c:v>38.729821843122387</c:v>
                </c:pt>
                <c:pt idx="13">
                  <c:v>38.729821843122387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30-4841-B032-FDBED7B6A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443200"/>
        <c:axId val="382444512"/>
      </c:scatterChart>
      <c:valAx>
        <c:axId val="38244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2444512"/>
        <c:crosses val="autoZero"/>
        <c:crossBetween val="midCat"/>
      </c:valAx>
      <c:valAx>
        <c:axId val="3824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2443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Almacén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DATOS!$AP$4:$AP$15</c:f>
              <c:numCache>
                <c:formatCode>0.00</c:formatCode>
                <c:ptCount val="12"/>
                <c:pt idx="0">
                  <c:v>25.819896720686291</c:v>
                </c:pt>
                <c:pt idx="1">
                  <c:v>36.147855408960808</c:v>
                </c:pt>
                <c:pt idx="2">
                  <c:v>46.475814097235329</c:v>
                </c:pt>
                <c:pt idx="3">
                  <c:v>56.80377278550985</c:v>
                </c:pt>
                <c:pt idx="4">
                  <c:v>67.13173147378437</c:v>
                </c:pt>
                <c:pt idx="5">
                  <c:v>77.459690162058877</c:v>
                </c:pt>
                <c:pt idx="6">
                  <c:v>108.44356622688242</c:v>
                </c:pt>
                <c:pt idx="7">
                  <c:v>139.42744229170597</c:v>
                </c:pt>
                <c:pt idx="8">
                  <c:v>170.41131835652953</c:v>
                </c:pt>
                <c:pt idx="9">
                  <c:v>201.3951944213531</c:v>
                </c:pt>
                <c:pt idx="10">
                  <c:v>232.37907048617666</c:v>
                </c:pt>
                <c:pt idx="11">
                  <c:v>232.37907048617663</c:v>
                </c:pt>
              </c:numCache>
            </c:numRef>
          </c:xVal>
          <c:yVal>
            <c:numRef>
              <c:f>DATOS!$AQ$4:$AQ$15</c:f>
              <c:numCache>
                <c:formatCode>0.00</c:formatCode>
                <c:ptCount val="12"/>
                <c:pt idx="0">
                  <c:v>697.13679317620301</c:v>
                </c:pt>
                <c:pt idx="1">
                  <c:v>497.95485226871637</c:v>
                </c:pt>
                <c:pt idx="2">
                  <c:v>387.2982184312238</c:v>
                </c:pt>
                <c:pt idx="3">
                  <c:v>316.88036053463765</c:v>
                </c:pt>
                <c:pt idx="4">
                  <c:v>268.12953583700107</c:v>
                </c:pt>
                <c:pt idx="5">
                  <c:v>232.37893105873431</c:v>
                </c:pt>
                <c:pt idx="6">
                  <c:v>165.98495075623879</c:v>
                </c:pt>
                <c:pt idx="7">
                  <c:v>129.09940614374128</c:v>
                </c:pt>
                <c:pt idx="8">
                  <c:v>105.62678684487923</c:v>
                </c:pt>
                <c:pt idx="9">
                  <c:v>89.376511945667033</c:v>
                </c:pt>
                <c:pt idx="10">
                  <c:v>77.45964368624476</c:v>
                </c:pt>
                <c:pt idx="11">
                  <c:v>77.459643686244775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AC-477E-AEAB-22AD77823367}"/>
            </c:ext>
          </c:extLst>
        </c:ser>
        <c:ser>
          <c:idx val="1"/>
          <c:order val="1"/>
          <c:tx>
            <c:v>Compra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DATOS!$AP$4:$AP$15</c:f>
              <c:numCache>
                <c:formatCode>0.00</c:formatCode>
                <c:ptCount val="12"/>
                <c:pt idx="0">
                  <c:v>25.819896720686291</c:v>
                </c:pt>
                <c:pt idx="1">
                  <c:v>36.147855408960808</c:v>
                </c:pt>
                <c:pt idx="2">
                  <c:v>46.475814097235329</c:v>
                </c:pt>
                <c:pt idx="3">
                  <c:v>56.80377278550985</c:v>
                </c:pt>
                <c:pt idx="4">
                  <c:v>67.13173147378437</c:v>
                </c:pt>
                <c:pt idx="5">
                  <c:v>77.459690162058877</c:v>
                </c:pt>
                <c:pt idx="6">
                  <c:v>108.44356622688242</c:v>
                </c:pt>
                <c:pt idx="7">
                  <c:v>139.42744229170597</c:v>
                </c:pt>
                <c:pt idx="8">
                  <c:v>170.41131835652953</c:v>
                </c:pt>
                <c:pt idx="9">
                  <c:v>201.3951944213531</c:v>
                </c:pt>
                <c:pt idx="10">
                  <c:v>232.37907048617666</c:v>
                </c:pt>
                <c:pt idx="11">
                  <c:v>232.37907048617663</c:v>
                </c:pt>
              </c:numCache>
            </c:numRef>
          </c:xVal>
          <c:yVal>
            <c:numRef>
              <c:f>DATOS!$AR$4:$AR$15</c:f>
              <c:numCache>
                <c:formatCode>0.00</c:formatCode>
                <c:ptCount val="12"/>
                <c:pt idx="0">
                  <c:v>77.459643686244775</c:v>
                </c:pt>
                <c:pt idx="1">
                  <c:v>108.44350116074268</c:v>
                </c:pt>
                <c:pt idx="2">
                  <c:v>139.42735863524061</c:v>
                </c:pt>
                <c:pt idx="3">
                  <c:v>170.41121610973852</c:v>
                </c:pt>
                <c:pt idx="4">
                  <c:v>201.39507358423646</c:v>
                </c:pt>
                <c:pt idx="5">
                  <c:v>232.37893105873434</c:v>
                </c:pt>
                <c:pt idx="6">
                  <c:v>325.33050348222798</c:v>
                </c:pt>
                <c:pt idx="7">
                  <c:v>418.28207590572185</c:v>
                </c:pt>
                <c:pt idx="8">
                  <c:v>511.2336483292155</c:v>
                </c:pt>
                <c:pt idx="9">
                  <c:v>604.18522075270937</c:v>
                </c:pt>
                <c:pt idx="10">
                  <c:v>697.13679317620313</c:v>
                </c:pt>
                <c:pt idx="11">
                  <c:v>697.13679317620301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2AC-477E-AEAB-22AD7782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433712"/>
        <c:axId val="565437648"/>
      </c:scatterChart>
      <c:valAx>
        <c:axId val="56543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65437648"/>
        <c:crosses val="autoZero"/>
        <c:crossBetween val="midCat"/>
      </c:valAx>
      <c:valAx>
        <c:axId val="56543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65433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13867016622922"/>
          <c:y val="0.44965223097112861"/>
          <c:w val="0.17163910761154855"/>
          <c:h val="0.156251093613298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A1" fmlaRange="$AM$20:$AM$25" noThreeD="1" sel="1" val="0"/>
</file>

<file path=xl/ctrlProps/ctrlProp2.xml><?xml version="1.0" encoding="utf-8"?>
<formControlPr xmlns="http://schemas.microsoft.com/office/spreadsheetml/2009/9/main" objectType="Drop" dropStyle="combo" dx="22" fmlaLink="$X$35" fmlaRange="$AN$24:$AN$25" noThreeD="1" sel="2" val="0"/>
</file>

<file path=xl/ctrlProps/ctrlProp3.xml><?xml version="1.0" encoding="utf-8"?>
<formControlPr xmlns="http://schemas.microsoft.com/office/spreadsheetml/2009/9/main" objectType="Drop" dropStyle="combo" dx="22" fmlaLink="$X$36" fmlaRange="$AN$26:$AN$26" noThreeD="1" sel="1" val="0"/>
</file>

<file path=xl/ctrlProps/ctrlProp4.xml><?xml version="1.0" encoding="utf-8"?>
<formControlPr xmlns="http://schemas.microsoft.com/office/spreadsheetml/2009/9/main" objectType="Drop" dropStyle="combo" dx="22" fmlaLink="$AA$30" fmlaRange="$AJ$22:$AJ$25" noThreeD="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ATOS!A66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11" Type="http://schemas.openxmlformats.org/officeDocument/2006/relationships/image" Target="../media/image6.png"/><Relationship Id="rId5" Type="http://schemas.openxmlformats.org/officeDocument/2006/relationships/hyperlink" Target="#DATOS!A67"/><Relationship Id="rId10" Type="http://schemas.openxmlformats.org/officeDocument/2006/relationships/image" Target="../media/image5.png"/><Relationship Id="rId4" Type="http://schemas.openxmlformats.org/officeDocument/2006/relationships/hyperlink" Target="#DATOS!A136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129</xdr:row>
      <xdr:rowOff>152399</xdr:rowOff>
    </xdr:from>
    <xdr:to>
      <xdr:col>8</xdr:col>
      <xdr:colOff>448202</xdr:colOff>
      <xdr:row>146</xdr:row>
      <xdr:rowOff>47921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405"/>
        <a:stretch/>
      </xdr:blipFill>
      <xdr:spPr>
        <a:xfrm>
          <a:off x="295274" y="22107524"/>
          <a:ext cx="4924953" cy="26482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12</xdr:col>
      <xdr:colOff>28574</xdr:colOff>
      <xdr:row>0</xdr:row>
      <xdr:rowOff>47625</xdr:rowOff>
    </xdr:from>
    <xdr:to>
      <xdr:col>18</xdr:col>
      <xdr:colOff>238125</xdr:colOff>
      <xdr:row>12</xdr:row>
      <xdr:rowOff>76200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180975</xdr:colOff>
          <xdr:row>2</xdr:row>
          <xdr:rowOff>190500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28574</xdr:colOff>
      <xdr:row>11</xdr:row>
      <xdr:rowOff>152399</xdr:rowOff>
    </xdr:from>
    <xdr:to>
      <xdr:col>18</xdr:col>
      <xdr:colOff>247649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76200</xdr:colOff>
      <xdr:row>89</xdr:row>
      <xdr:rowOff>0</xdr:rowOff>
    </xdr:from>
    <xdr:to>
      <xdr:col>1</xdr:col>
      <xdr:colOff>333375</xdr:colOff>
      <xdr:row>90</xdr:row>
      <xdr:rowOff>0</xdr:rowOff>
    </xdr:to>
    <xdr:sp macro="" textlink="">
      <xdr:nvSpPr>
        <xdr:cNvPr id="6" name="Flecha: hacia abaj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5275" y="15792450"/>
          <a:ext cx="257175" cy="190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95249</xdr:colOff>
      <xdr:row>106</xdr:row>
      <xdr:rowOff>95250</xdr:rowOff>
    </xdr:from>
    <xdr:to>
      <xdr:col>1</xdr:col>
      <xdr:colOff>361950</xdr:colOff>
      <xdr:row>107</xdr:row>
      <xdr:rowOff>123825</xdr:rowOff>
    </xdr:to>
    <xdr:sp macro="" textlink="">
      <xdr:nvSpPr>
        <xdr:cNvPr id="7" name="Flecha: hacia arriba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14324" y="18211800"/>
          <a:ext cx="266701" cy="2000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152400</xdr:rowOff>
        </xdr:from>
        <xdr:to>
          <xdr:col>24</xdr:col>
          <xdr:colOff>600075</xdr:colOff>
          <xdr:row>35</xdr:row>
          <xdr:rowOff>28575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35</xdr:row>
          <xdr:rowOff>28575</xdr:rowOff>
        </xdr:from>
        <xdr:to>
          <xdr:col>25</xdr:col>
          <xdr:colOff>295275</xdr:colOff>
          <xdr:row>35</xdr:row>
          <xdr:rowOff>161925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581025</xdr:colOff>
          <xdr:row>28</xdr:row>
          <xdr:rowOff>161925</xdr:rowOff>
        </xdr:from>
        <xdr:to>
          <xdr:col>27</xdr:col>
          <xdr:colOff>180975</xdr:colOff>
          <xdr:row>30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628650</xdr:colOff>
      <xdr:row>122</xdr:row>
      <xdr:rowOff>108705</xdr:rowOff>
    </xdr:from>
    <xdr:to>
      <xdr:col>11</xdr:col>
      <xdr:colOff>123825</xdr:colOff>
      <xdr:row>125</xdr:row>
      <xdr:rowOff>19210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4901"/>
        <a:stretch/>
      </xdr:blipFill>
      <xdr:spPr>
        <a:xfrm>
          <a:off x="5962650" y="20616030"/>
          <a:ext cx="1257300" cy="396280"/>
        </a:xfrm>
        <a:prstGeom prst="rect">
          <a:avLst/>
        </a:prstGeom>
      </xdr:spPr>
    </xdr:pic>
    <xdr:clientData/>
  </xdr:twoCellAnchor>
  <xdr:twoCellAnchor editAs="oneCell">
    <xdr:from>
      <xdr:col>8</xdr:col>
      <xdr:colOff>587957</xdr:colOff>
      <xdr:row>147</xdr:row>
      <xdr:rowOff>0</xdr:rowOff>
    </xdr:from>
    <xdr:to>
      <xdr:col>14</xdr:col>
      <xdr:colOff>400961</xdr:colOff>
      <xdr:row>164</xdr:row>
      <xdr:rowOff>153017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59982" y="24965025"/>
          <a:ext cx="4404054" cy="2972416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163</xdr:row>
      <xdr:rowOff>57150</xdr:rowOff>
    </xdr:from>
    <xdr:to>
      <xdr:col>4</xdr:col>
      <xdr:colOff>561976</xdr:colOff>
      <xdr:row>164</xdr:row>
      <xdr:rowOff>95250</xdr:rowOff>
    </xdr:to>
    <xdr:sp macro="" textlink="">
      <xdr:nvSpPr>
        <xdr:cNvPr id="25" name="Flecha: hacia arriba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552700" y="27689175"/>
          <a:ext cx="266701" cy="2000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7</xdr:col>
      <xdr:colOff>47625</xdr:colOff>
      <xdr:row>68</xdr:row>
      <xdr:rowOff>9525</xdr:rowOff>
    </xdr:from>
    <xdr:to>
      <xdr:col>14</xdr:col>
      <xdr:colOff>162852</xdr:colOff>
      <xdr:row>80</xdr:row>
      <xdr:rowOff>498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7297404-7C3E-7B20-FDE2-95B6636AA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52925" y="11934825"/>
          <a:ext cx="5173002" cy="1934073"/>
        </a:xfrm>
        <a:prstGeom prst="rect">
          <a:avLst/>
        </a:prstGeom>
      </xdr:spPr>
    </xdr:pic>
    <xdr:clientData/>
  </xdr:twoCellAnchor>
  <xdr:twoCellAnchor>
    <xdr:from>
      <xdr:col>10</xdr:col>
      <xdr:colOff>316442</xdr:colOff>
      <xdr:row>93</xdr:row>
      <xdr:rowOff>0</xdr:rowOff>
    </xdr:from>
    <xdr:to>
      <xdr:col>13</xdr:col>
      <xdr:colOff>455407</xdr:colOff>
      <xdr:row>104</xdr:row>
      <xdr:rowOff>29770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5A1D0187-34E1-85F9-751D-EF7A94E2F232}"/>
            </a:ext>
          </a:extLst>
        </xdr:cNvPr>
        <xdr:cNvGrpSpPr/>
      </xdr:nvGrpSpPr>
      <xdr:grpSpPr>
        <a:xfrm>
          <a:off x="6380692" y="15843250"/>
          <a:ext cx="2657798" cy="1776020"/>
          <a:chOff x="5924551" y="15859125"/>
          <a:chExt cx="2657798" cy="1971812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75307B1-02F3-CF86-759D-053B0751A6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6257925" y="16849725"/>
            <a:ext cx="2324424" cy="981212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5534B55C-24A0-4B16-AE44-D4EAEF5830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6257925" y="15859125"/>
            <a:ext cx="2324424" cy="981212"/>
          </a:xfrm>
          <a:prstGeom prst="rect">
            <a:avLst/>
          </a:prstGeom>
        </xdr:spPr>
      </xdr:pic>
      <xdr:sp macro="" textlink="">
        <xdr:nvSpPr>
          <xdr:cNvPr id="20" name="Flecha: a la derecha 19">
            <a:extLst>
              <a:ext uri="{FF2B5EF4-FFF2-40B4-BE49-F238E27FC236}">
                <a16:creationId xmlns:a16="http://schemas.microsoft.com/office/drawing/2014/main" id="{81A5CF5E-0976-6172-B7DF-A810C1742603}"/>
              </a:ext>
            </a:extLst>
          </xdr:cNvPr>
          <xdr:cNvSpPr/>
        </xdr:nvSpPr>
        <xdr:spPr>
          <a:xfrm rot="2324001">
            <a:off x="5924551" y="16116301"/>
            <a:ext cx="466725" cy="314325"/>
          </a:xfrm>
          <a:prstGeom prst="rightArrow">
            <a:avLst/>
          </a:prstGeom>
          <a:solidFill>
            <a:schemeClr val="accent5">
              <a:lumMod val="60000"/>
              <a:lumOff val="4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21" name="Flecha: a la derecha 20">
            <a:extLst>
              <a:ext uri="{FF2B5EF4-FFF2-40B4-BE49-F238E27FC236}">
                <a16:creationId xmlns:a16="http://schemas.microsoft.com/office/drawing/2014/main" id="{457572AD-D679-42F3-877C-1D75FEB02619}"/>
              </a:ext>
            </a:extLst>
          </xdr:cNvPr>
          <xdr:cNvSpPr/>
        </xdr:nvSpPr>
        <xdr:spPr>
          <a:xfrm rot="19808871">
            <a:off x="5962651" y="17221201"/>
            <a:ext cx="466725" cy="314325"/>
          </a:xfrm>
          <a:prstGeom prst="rightArrow">
            <a:avLst/>
          </a:prstGeom>
          <a:solidFill>
            <a:schemeClr val="accent5">
              <a:lumMod val="60000"/>
              <a:lumOff val="4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</xdr:grpSp>
    <xdr:clientData/>
  </xdr:twoCellAnchor>
  <xdr:twoCellAnchor editAs="oneCell">
    <xdr:from>
      <xdr:col>6</xdr:col>
      <xdr:colOff>209550</xdr:colOff>
      <xdr:row>110</xdr:row>
      <xdr:rowOff>19050</xdr:rowOff>
    </xdr:from>
    <xdr:to>
      <xdr:col>14</xdr:col>
      <xdr:colOff>648624</xdr:colOff>
      <xdr:row>130</xdr:row>
      <xdr:rowOff>449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4E2A540-3508-3EC5-B50D-444515D71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90900" y="18830925"/>
          <a:ext cx="6620799" cy="32198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S165"/>
  <sheetViews>
    <sheetView showGridLines="0" tabSelected="1" zoomScale="90" zoomScaleNormal="90" workbookViewId="0">
      <selection activeCell="G25" sqref="G25"/>
    </sheetView>
  </sheetViews>
  <sheetFormatPr baseColWidth="10" defaultRowHeight="12.75" x14ac:dyDescent="0.2"/>
  <cols>
    <col min="1" max="1" width="3.28515625" style="1" customWidth="1"/>
    <col min="2" max="2" width="15.42578125" style="1" bestFit="1" customWidth="1"/>
    <col min="3" max="3" width="8" style="1" bestFit="1" customWidth="1"/>
    <col min="4" max="4" width="7.140625" style="1" customWidth="1"/>
    <col min="5" max="5" width="10.42578125" style="1" customWidth="1"/>
    <col min="6" max="6" width="3.42578125" style="1" customWidth="1"/>
    <col min="7" max="7" width="16.85546875" style="1" customWidth="1"/>
    <col min="8" max="8" width="7" style="8" customWidth="1"/>
    <col min="9" max="9" width="10" style="5" customWidth="1"/>
    <col min="10" max="10" width="9.28515625" style="1" customWidth="1"/>
    <col min="11" max="11" width="17" style="1" customWidth="1"/>
    <col min="12" max="12" width="9.42578125" style="5" customWidth="1"/>
    <col min="13" max="13" width="11.42578125" style="1"/>
    <col min="14" max="14" width="11.7109375" style="1" bestFit="1" customWidth="1"/>
    <col min="15" max="21" width="11.42578125" style="1"/>
    <col min="22" max="22" width="9.85546875" style="1" customWidth="1"/>
    <col min="23" max="23" width="13" style="1" customWidth="1"/>
    <col min="24" max="24" width="6.5703125" style="1" customWidth="1"/>
    <col min="25" max="25" width="11.42578125" style="1"/>
    <col min="26" max="26" width="9.42578125" style="1" customWidth="1"/>
    <col min="27" max="27" width="9" style="1" customWidth="1"/>
    <col min="28" max="28" width="11.42578125" style="1"/>
    <col min="29" max="29" width="10" style="1" customWidth="1"/>
    <col min="30" max="34" width="11.42578125" style="1"/>
    <col min="35" max="35" width="11.42578125" style="99"/>
    <col min="36" max="44" width="11.42578125" style="99" customWidth="1"/>
    <col min="45" max="45" width="11.42578125" style="99"/>
    <col min="46" max="16384" width="11.42578125" style="1"/>
  </cols>
  <sheetData>
    <row r="1" spans="1:44" x14ac:dyDescent="0.2">
      <c r="A1" s="173">
        <v>1</v>
      </c>
      <c r="B1" s="167" t="s">
        <v>176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9"/>
      <c r="N1" s="169"/>
      <c r="O1" s="169"/>
      <c r="P1" s="169"/>
      <c r="Q1" s="169"/>
      <c r="R1" s="169"/>
      <c r="S1" s="169"/>
    </row>
    <row r="2" spans="1:44" ht="21" x14ac:dyDescent="0.35">
      <c r="A2" s="169"/>
      <c r="B2" s="12" t="s">
        <v>43</v>
      </c>
      <c r="C2" s="2"/>
      <c r="D2" s="25" t="s">
        <v>175</v>
      </c>
      <c r="E2" s="12"/>
      <c r="F2" s="168"/>
      <c r="G2" s="205" t="s">
        <v>177</v>
      </c>
      <c r="H2" s="205"/>
      <c r="I2" s="205"/>
      <c r="J2" s="205"/>
      <c r="K2" s="205"/>
      <c r="L2" s="205"/>
      <c r="M2" s="169"/>
      <c r="N2" s="169"/>
      <c r="O2" s="169"/>
      <c r="P2" s="169"/>
      <c r="Q2" s="169"/>
      <c r="R2" s="169"/>
      <c r="S2" s="169"/>
    </row>
    <row r="3" spans="1:44" ht="15.75" thickBot="1" x14ac:dyDescent="0.3">
      <c r="A3" s="169"/>
      <c r="B3" s="12" t="s">
        <v>0</v>
      </c>
      <c r="C3" s="2"/>
      <c r="D3" s="25" t="str">
        <f>IF(A1=1,"año",IF(A1=2," mes",IF(A1=3,"sem",IF(A1=4,"día",IF(A1=5,"hora",IF(A1=6,"min",""))))))</f>
        <v>año</v>
      </c>
      <c r="E3" s="12"/>
      <c r="F3" s="206"/>
      <c r="G3" s="216" t="str">
        <f>"Mod.: "&amp;G22</f>
        <v>Mod.: EOQ</v>
      </c>
      <c r="H3" s="207" t="str">
        <f>H23</f>
        <v/>
      </c>
      <c r="I3" s="208"/>
      <c r="J3" s="209"/>
      <c r="K3" s="209"/>
      <c r="L3" s="210" t="s">
        <v>64</v>
      </c>
      <c r="M3" s="169"/>
      <c r="N3" s="169"/>
      <c r="O3" s="169"/>
      <c r="P3" s="169"/>
      <c r="Q3" s="169"/>
      <c r="R3" s="169"/>
      <c r="S3" s="169"/>
      <c r="AJ3" s="100"/>
      <c r="AK3" s="101" t="s">
        <v>39</v>
      </c>
      <c r="AL3" s="101" t="s">
        <v>32</v>
      </c>
      <c r="AM3" s="101" t="s">
        <v>30</v>
      </c>
      <c r="AN3" s="101" t="s">
        <v>40</v>
      </c>
      <c r="AP3" s="102"/>
      <c r="AQ3" s="102" t="s">
        <v>50</v>
      </c>
      <c r="AR3" s="102" t="s">
        <v>87</v>
      </c>
    </row>
    <row r="4" spans="1:44" ht="15" x14ac:dyDescent="0.25">
      <c r="A4" s="169"/>
      <c r="B4" s="12" t="s">
        <v>1</v>
      </c>
      <c r="C4" s="2" t="s">
        <v>13</v>
      </c>
      <c r="D4" s="25">
        <v>180</v>
      </c>
      <c r="E4" s="12" t="str">
        <f>D2 &amp; "/" &amp;D3</f>
        <v>u/año</v>
      </c>
      <c r="F4" s="169"/>
      <c r="G4" s="12" t="s">
        <v>24</v>
      </c>
      <c r="H4" s="2" t="s">
        <v>63</v>
      </c>
      <c r="I4" s="18">
        <f>IF(OR(D16=0,D16=""),IFERROR(SQRT((2*D4*D5)/((F9-D4)*D11/F9)),0),0)</f>
        <v>77.459690162058877</v>
      </c>
      <c r="J4" s="12" t="str">
        <f>$D$2</f>
        <v>u</v>
      </c>
      <c r="K4" s="15" t="s">
        <v>33</v>
      </c>
      <c r="L4" s="9">
        <f>IF(I4&gt;0,D5*D4/I4,IF(I17&gt;0,D5/D16,0))</f>
        <v>232.37893105873431</v>
      </c>
      <c r="M4" s="169"/>
      <c r="N4" s="169"/>
      <c r="O4" s="169"/>
      <c r="P4" s="169"/>
      <c r="Q4" s="169"/>
      <c r="R4" s="169"/>
      <c r="S4" s="169"/>
      <c r="AJ4" s="100">
        <v>0</v>
      </c>
      <c r="AK4" s="175">
        <v>0</v>
      </c>
      <c r="AL4" s="176">
        <f>IF(AK4&lt;&gt;"",0,"")</f>
        <v>0</v>
      </c>
      <c r="AM4" s="176">
        <f>IF(AK4&lt;&gt;"",DATOS!$AK$23,"")</f>
        <v>3.42</v>
      </c>
      <c r="AN4" s="177">
        <f>IF(AK4&lt;&gt;"",DATOS!$AK$24,"")</f>
        <v>38.729821843122387</v>
      </c>
      <c r="AP4" s="101">
        <f>AP9/3</f>
        <v>25.819896720686291</v>
      </c>
      <c r="AQ4" s="101">
        <f>DATOS!$D$5*DATOS!$D$4/AP4</f>
        <v>697.13679317620301</v>
      </c>
      <c r="AR4" s="101">
        <f>IF(DATOS!$F$9&lt;&gt;300000000,((AP4/2)+DATOS!$I$13)*DATOS!$D$7*DATOS!$D$6,((((DATOS!$F$9-DATOS!$D$4)*AP4/DATOS!$F$9)/2)+DATOS!$I$13)*DATOS!$D$7*DATOS!$D$6)</f>
        <v>77.459643686244775</v>
      </c>
    </row>
    <row r="5" spans="1:44" ht="15" x14ac:dyDescent="0.25">
      <c r="A5" s="169"/>
      <c r="B5" s="12" t="s">
        <v>2</v>
      </c>
      <c r="C5" s="2" t="s">
        <v>14</v>
      </c>
      <c r="D5" s="25">
        <v>100</v>
      </c>
      <c r="E5" s="12" t="s">
        <v>22</v>
      </c>
      <c r="F5" s="169"/>
      <c r="G5" s="14" t="s">
        <v>25</v>
      </c>
      <c r="H5" s="2" t="s">
        <v>54</v>
      </c>
      <c r="I5" s="18">
        <f>IFERROR((F9-D4)*I4/F9,0)</f>
        <v>77.459643686244775</v>
      </c>
      <c r="J5" s="14" t="str">
        <f t="shared" ref="J5:J17" si="0">$D$2</f>
        <v>u</v>
      </c>
      <c r="K5" s="16" t="s">
        <v>34</v>
      </c>
      <c r="L5" s="9">
        <f>IF(I17=0,IF(F9&lt;&gt;300000000,((I4/2)+I13)*D7*D6,((((F9-D4)*I4/F9)/2)+I13)*D7*D6),((D4*D16/2)+I6)*D7*D6)</f>
        <v>20.52</v>
      </c>
      <c r="M5" s="169"/>
      <c r="N5" s="169"/>
      <c r="O5" s="169"/>
      <c r="P5" s="169"/>
      <c r="Q5" s="169"/>
      <c r="R5" s="169"/>
      <c r="S5" s="169"/>
      <c r="AJ5" s="100">
        <v>0</v>
      </c>
      <c r="AK5" s="178">
        <f>AK4+DATOS!$AK$25</f>
        <v>2.581989672068629E-7</v>
      </c>
      <c r="AL5" s="101">
        <f>IF(AK5&lt;&gt;"",DATOS!AK21,"")</f>
        <v>77.459643686244775</v>
      </c>
      <c r="AM5" s="101">
        <f>IF(AK5&lt;&gt;"",DATOS!$AK$23,"")</f>
        <v>3.42</v>
      </c>
      <c r="AN5" s="179">
        <f>IF(AK5&lt;&gt;"",DATOS!$AK$24,"")</f>
        <v>38.729821843122387</v>
      </c>
      <c r="AP5" s="101">
        <f>($AP$9-$AP$4)/5+AP4</f>
        <v>36.147855408960808</v>
      </c>
      <c r="AQ5" s="101">
        <f>DATOS!$D$5*DATOS!$D$4/AP5</f>
        <v>497.95485226871637</v>
      </c>
      <c r="AR5" s="101">
        <f>IF(DATOS!$F$9&lt;&gt;300000000,((AP5/2)+DATOS!$I$13)*DATOS!$D$7*DATOS!$D$6,((((DATOS!$F$9-DATOS!$D$4)*AP5/DATOS!$F$9)/2)+DATOS!$I$13)*DATOS!$D$7*DATOS!$D$6)</f>
        <v>108.44350116074268</v>
      </c>
    </row>
    <row r="6" spans="1:44" ht="15" x14ac:dyDescent="0.25">
      <c r="A6" s="169"/>
      <c r="B6" s="12" t="s">
        <v>3</v>
      </c>
      <c r="C6" s="2" t="s">
        <v>15</v>
      </c>
      <c r="D6" s="25">
        <v>20</v>
      </c>
      <c r="E6" s="12" t="str">
        <f>"$/"&amp;D2</f>
        <v>$/u</v>
      </c>
      <c r="F6" s="169"/>
      <c r="G6" s="12" t="s">
        <v>26</v>
      </c>
      <c r="H6" s="2" t="s">
        <v>30</v>
      </c>
      <c r="I6" s="3">
        <f>IF(I4=0,0,IF(F9&lt;&gt;300000000,IF((I9-D8)&lt;I10,(D9-D4)*(I9-D8),(D9-D4)*D8),D4*(MOD(D8,I9))))</f>
        <v>3.42</v>
      </c>
      <c r="J6" s="12" t="str">
        <f t="shared" si="0"/>
        <v>u</v>
      </c>
      <c r="K6" s="15" t="s">
        <v>35</v>
      </c>
      <c r="L6" s="9">
        <f>SUM(L4:L5)</f>
        <v>252.89893105873432</v>
      </c>
      <c r="M6" s="169"/>
      <c r="N6" s="169"/>
      <c r="O6" s="169"/>
      <c r="P6" s="169"/>
      <c r="Q6" s="169"/>
      <c r="R6" s="169"/>
      <c r="S6" s="169"/>
      <c r="AJ6" s="100">
        <v>1</v>
      </c>
      <c r="AK6" s="178">
        <f>DATOS!$AK$22</f>
        <v>0.43033161201143821</v>
      </c>
      <c r="AL6" s="101">
        <f>IF(AK6&lt;&gt;"",0,"")</f>
        <v>0</v>
      </c>
      <c r="AM6" s="101">
        <f>IF(AK6&lt;&gt;"",DATOS!$AK$23,"")</f>
        <v>3.42</v>
      </c>
      <c r="AN6" s="179">
        <f>IF(AK6&lt;&gt;"",DATOS!$AK$24,"")</f>
        <v>38.729821843122387</v>
      </c>
      <c r="AP6" s="101">
        <f>($AP$9-$AP$4)/5+AP5</f>
        <v>46.475814097235329</v>
      </c>
      <c r="AQ6" s="101">
        <f>DATOS!$D$5*DATOS!$D$4/AP6</f>
        <v>387.2982184312238</v>
      </c>
      <c r="AR6" s="101">
        <f>IF(DATOS!$F$9&lt;&gt;300000000,((AP6/2)+DATOS!$I$13)*DATOS!$D$7*DATOS!$D$6,((((DATOS!$F$9-DATOS!$D$4)*AP6/DATOS!$F$9)/2)+DATOS!$I$13)*DATOS!$D$7*DATOS!$D$6)</f>
        <v>139.42735863524061</v>
      </c>
    </row>
    <row r="7" spans="1:44" ht="15" x14ac:dyDescent="0.25">
      <c r="A7" s="169"/>
      <c r="B7" s="12" t="s">
        <v>4</v>
      </c>
      <c r="C7" s="2" t="s">
        <v>16</v>
      </c>
      <c r="D7" s="25">
        <v>0.3</v>
      </c>
      <c r="E7" s="12" t="str">
        <f>"/"&amp;D3</f>
        <v>/año</v>
      </c>
      <c r="F7" s="169"/>
      <c r="G7" s="14" t="s">
        <v>27</v>
      </c>
      <c r="H7" s="2" t="s">
        <v>55</v>
      </c>
      <c r="I7" s="4" t="str">
        <f>IF((D4*D8)&gt;I5,"ASCEN/","\DESCEN")</f>
        <v>\DESCEN</v>
      </c>
      <c r="J7" s="14"/>
      <c r="K7" s="16" t="s">
        <v>36</v>
      </c>
      <c r="L7" s="9">
        <f>D6*D4</f>
        <v>3600</v>
      </c>
      <c r="M7" s="169"/>
      <c r="N7" s="169"/>
      <c r="O7" s="169"/>
      <c r="P7" s="169"/>
      <c r="Q7" s="169"/>
      <c r="R7" s="169"/>
      <c r="S7" s="169"/>
      <c r="AJ7" s="100">
        <v>1</v>
      </c>
      <c r="AK7" s="178">
        <f>AK6+DATOS!$AK$25</f>
        <v>0.43033187021040542</v>
      </c>
      <c r="AL7" s="101">
        <f>IF(AK7&lt;&gt;"",DATOS!AK21,"")</f>
        <v>77.459643686244775</v>
      </c>
      <c r="AM7" s="101">
        <f>IF(AK7&lt;&gt;"",DATOS!$AK$23,"")</f>
        <v>3.42</v>
      </c>
      <c r="AN7" s="179">
        <f>IF(AK7&lt;&gt;"",DATOS!$AK$24,"")</f>
        <v>38.729821843122387</v>
      </c>
      <c r="AP7" s="101">
        <f>($AP$9-$AP$4)/5+AP6</f>
        <v>56.80377278550985</v>
      </c>
      <c r="AQ7" s="101">
        <f>DATOS!$D$5*DATOS!$D$4/AP7</f>
        <v>316.88036053463765</v>
      </c>
      <c r="AR7" s="101">
        <f>IF(DATOS!$F$9&lt;&gt;300000000,((AP7/2)+DATOS!$I$13)*DATOS!$D$7*DATOS!$D$6,((((DATOS!$F$9-DATOS!$D$4)*AP7/DATOS!$F$9)/2)+DATOS!$I$13)*DATOS!$D$7*DATOS!$D$6)</f>
        <v>170.41121610973852</v>
      </c>
    </row>
    <row r="8" spans="1:44" ht="15" x14ac:dyDescent="0.25">
      <c r="A8" s="169"/>
      <c r="B8" s="12" t="s">
        <v>5</v>
      </c>
      <c r="C8" s="2" t="s">
        <v>17</v>
      </c>
      <c r="D8" s="25">
        <v>1.9E-2</v>
      </c>
      <c r="E8" s="12" t="str">
        <f>D3</f>
        <v>año</v>
      </c>
      <c r="F8" s="169"/>
      <c r="G8" s="12"/>
      <c r="H8" s="2"/>
      <c r="I8" s="2"/>
      <c r="J8" s="12"/>
      <c r="K8" s="15" t="s">
        <v>37</v>
      </c>
      <c r="L8" s="9">
        <f>SUM((L6:L7))</f>
        <v>3852.8989310587344</v>
      </c>
      <c r="M8" s="169"/>
      <c r="N8" s="169"/>
      <c r="O8" s="169"/>
      <c r="P8" s="169"/>
      <c r="Q8" s="169"/>
      <c r="R8" s="169"/>
      <c r="S8" s="169"/>
      <c r="AJ8" s="100">
        <v>2</v>
      </c>
      <c r="AK8" s="178">
        <f>DATOS!$AK$22*2</f>
        <v>0.86066322402287643</v>
      </c>
      <c r="AL8" s="101">
        <f>IF(AK8&lt;&gt;"",0,"")</f>
        <v>0</v>
      </c>
      <c r="AM8" s="101">
        <f>IF(AK8&lt;&gt;"",DATOS!$AK$23,"")</f>
        <v>3.42</v>
      </c>
      <c r="AN8" s="179">
        <f>IF(AK8&lt;&gt;"",DATOS!$AK$24,"")</f>
        <v>38.729821843122387</v>
      </c>
      <c r="AP8" s="101">
        <f>($AP$9-$AP$4)/5+AP7</f>
        <v>67.13173147378437</v>
      </c>
      <c r="AQ8" s="101">
        <f>DATOS!$D$5*DATOS!$D$4/AP8</f>
        <v>268.12953583700107</v>
      </c>
      <c r="AR8" s="101">
        <f>IF(DATOS!$F$9&lt;&gt;300000000,((AP8/2)+DATOS!$I$13)*DATOS!$D$7*DATOS!$D$6,((((DATOS!$F$9-DATOS!$D$4)*AP8/DATOS!$F$9)/2)+DATOS!$I$13)*DATOS!$D$7*DATOS!$D$6)</f>
        <v>201.39507358423646</v>
      </c>
    </row>
    <row r="9" spans="1:44" ht="15" x14ac:dyDescent="0.25">
      <c r="A9" s="169"/>
      <c r="B9" s="12" t="s">
        <v>56</v>
      </c>
      <c r="C9" s="2" t="s">
        <v>18</v>
      </c>
      <c r="D9" s="26" t="s">
        <v>183</v>
      </c>
      <c r="E9" s="12" t="str">
        <f>D2&amp;"/"&amp;D3</f>
        <v>u/año</v>
      </c>
      <c r="F9" s="174">
        <f>IF(OR($D$9="M",$D$9="m"),$A$22,IF(OR($D$9=" ",$D$9=0),$A$22,$D$9))</f>
        <v>300000000</v>
      </c>
      <c r="G9" s="14" t="s">
        <v>169</v>
      </c>
      <c r="H9" s="2"/>
      <c r="I9" s="3">
        <f>IFERROR(I4/D4,"")</f>
        <v>0.43033161201143821</v>
      </c>
      <c r="J9" s="14"/>
      <c r="K9" s="16"/>
      <c r="M9" s="169"/>
      <c r="N9" s="169"/>
      <c r="O9" s="169"/>
      <c r="P9" s="169"/>
      <c r="Q9" s="169"/>
      <c r="R9" s="169"/>
      <c r="S9" s="169"/>
      <c r="AJ9" s="100">
        <v>2</v>
      </c>
      <c r="AK9" s="178">
        <f>AK8+DATOS!$AK$25</f>
        <v>0.86066348222184363</v>
      </c>
      <c r="AL9" s="101">
        <f>IF(AK9&lt;&gt;"",DATOS!AK21,"")</f>
        <v>77.459643686244775</v>
      </c>
      <c r="AM9" s="101">
        <f>IF(AK9&lt;&gt;"",DATOS!$AK$23,"")</f>
        <v>3.42</v>
      </c>
      <c r="AN9" s="179">
        <f>IF(AK9&lt;&gt;"",DATOS!$AK$24,"")</f>
        <v>38.729821843122387</v>
      </c>
      <c r="AP9" s="103">
        <f>DATOS!I4</f>
        <v>77.459690162058877</v>
      </c>
      <c r="AQ9" s="101">
        <f>DATOS!$D$5*DATOS!$D$4/AP9</f>
        <v>232.37893105873431</v>
      </c>
      <c r="AR9" s="101">
        <f>IF(DATOS!$F$9&lt;&gt;300000000,((AP9/2)+DATOS!$I$13)*DATOS!$D$7*DATOS!$D$6,((((DATOS!$F$9-DATOS!$D$4)*AP9/DATOS!$F$9)/2)+DATOS!$I$13)*DATOS!$D$7*DATOS!$D$6)</f>
        <v>232.37893105873434</v>
      </c>
    </row>
    <row r="10" spans="1:44" ht="15" x14ac:dyDescent="0.25">
      <c r="A10" s="169"/>
      <c r="B10" s="12" t="s">
        <v>57</v>
      </c>
      <c r="C10" s="10" t="s">
        <v>53</v>
      </c>
      <c r="D10" s="25">
        <v>0.5</v>
      </c>
      <c r="E10" s="12"/>
      <c r="F10" s="174">
        <f>IF(D10&lt;&gt;"",NORMSINV(D10),0)</f>
        <v>0</v>
      </c>
      <c r="G10" s="12" t="s">
        <v>221</v>
      </c>
      <c r="H10" s="2"/>
      <c r="I10" s="3">
        <f>I4/F9</f>
        <v>2.581989672068629E-7</v>
      </c>
      <c r="J10" s="12" t="str">
        <f>D3</f>
        <v>año</v>
      </c>
      <c r="K10" s="266" t="s">
        <v>220</v>
      </c>
      <c r="L10" s="165">
        <f>I13*D7*D6</f>
        <v>0</v>
      </c>
      <c r="M10" s="169"/>
      <c r="N10" s="169"/>
      <c r="O10" s="169"/>
      <c r="P10" s="169"/>
      <c r="Q10" s="169"/>
      <c r="R10" s="169"/>
      <c r="S10" s="169"/>
      <c r="AJ10" s="100">
        <v>3</v>
      </c>
      <c r="AK10" s="178">
        <f>DATOS!$AK$22*3</f>
        <v>1.2909948360343146</v>
      </c>
      <c r="AL10" s="101">
        <f>IF(AK10&lt;&gt;"",0,"")</f>
        <v>0</v>
      </c>
      <c r="AM10" s="101">
        <f>IF(AK10&lt;&gt;"",DATOS!$AK$23,"")</f>
        <v>3.42</v>
      </c>
      <c r="AN10" s="179">
        <f>IF(AK10&lt;&gt;"",DATOS!$AK$24,"")</f>
        <v>38.729821843122387</v>
      </c>
      <c r="AP10" s="101">
        <f>(($AP$15-$AP$9)/5)+AP9</f>
        <v>108.44356622688242</v>
      </c>
      <c r="AQ10" s="101">
        <f>DATOS!$D$5*DATOS!$D$4/AP10</f>
        <v>165.98495075623879</v>
      </c>
      <c r="AR10" s="101">
        <f>IF(DATOS!$F$9&lt;&gt;300000000,((AP10/2)+DATOS!$I$13)*DATOS!$D$7*DATOS!$D$6,((((DATOS!$F$9-DATOS!$D$4)*AP10/DATOS!$F$9)/2)+DATOS!$I$13)*DATOS!$D$7*DATOS!$D$6)</f>
        <v>325.33050348222798</v>
      </c>
    </row>
    <row r="11" spans="1:44" ht="15" x14ac:dyDescent="0.25">
      <c r="A11" s="169"/>
      <c r="B11" s="12" t="s">
        <v>6</v>
      </c>
      <c r="C11" s="2" t="s">
        <v>19</v>
      </c>
      <c r="D11" s="6">
        <f>D7*D6</f>
        <v>6</v>
      </c>
      <c r="E11" s="12" t="s">
        <v>22</v>
      </c>
      <c r="F11" s="169"/>
      <c r="G11" s="14" t="s">
        <v>222</v>
      </c>
      <c r="H11" s="2"/>
      <c r="I11" s="3">
        <f>IFERROR(I9-I10,"")</f>
        <v>0.43033135381247101</v>
      </c>
      <c r="J11" s="14" t="str">
        <f>D3</f>
        <v>año</v>
      </c>
      <c r="K11" s="16"/>
      <c r="L11" s="7"/>
      <c r="M11" s="169"/>
      <c r="N11" s="169"/>
      <c r="O11" s="169"/>
      <c r="P11" s="169"/>
      <c r="Q11" s="169"/>
      <c r="R11" s="169"/>
      <c r="S11" s="169"/>
      <c r="AJ11" s="100">
        <v>3</v>
      </c>
      <c r="AK11" s="178">
        <f>AK10+DATOS!$AK$25</f>
        <v>1.290995094233282</v>
      </c>
      <c r="AL11" s="101">
        <f>IF(AK11&lt;&gt;"",DATOS!AK21,"")</f>
        <v>77.459643686244775</v>
      </c>
      <c r="AM11" s="101">
        <f>IF(AK11&lt;&gt;"",DATOS!$AK$23,"")</f>
        <v>3.42</v>
      </c>
      <c r="AN11" s="179">
        <f>IF(AK11&lt;&gt;"",DATOS!$AK$24,"")</f>
        <v>38.729821843122387</v>
      </c>
      <c r="AP11" s="101">
        <f>(($AP$15-$AP$9)/5)+AP10</f>
        <v>139.42744229170597</v>
      </c>
      <c r="AQ11" s="101">
        <f>DATOS!$D$5*DATOS!$D$4/AP11</f>
        <v>129.09940614374128</v>
      </c>
      <c r="AR11" s="101">
        <f>IF(DATOS!$F$9&lt;&gt;300000000,((AP11/2)+DATOS!$I$13)*DATOS!$D$7*DATOS!$D$6,((((DATOS!$F$9-DATOS!$D$4)*AP11/DATOS!$F$9)/2)+DATOS!$I$13)*DATOS!$D$7*DATOS!$D$6)</f>
        <v>418.28207590572185</v>
      </c>
    </row>
    <row r="12" spans="1:44" ht="15.75" x14ac:dyDescent="0.25">
      <c r="A12" s="169"/>
      <c r="B12" s="12" t="s">
        <v>7</v>
      </c>
      <c r="C12" s="10" t="s">
        <v>51</v>
      </c>
      <c r="D12" s="263"/>
      <c r="E12" s="12"/>
      <c r="F12" s="169"/>
      <c r="G12" s="12" t="str">
        <f>"ciclos/"&amp;D3</f>
        <v>ciclos/año</v>
      </c>
      <c r="H12" s="2"/>
      <c r="I12" s="3">
        <f>IFERROR(1/I9,"")</f>
        <v>2.3237893105873431</v>
      </c>
      <c r="J12" s="12" t="str">
        <f>"cicl/"&amp;J11</f>
        <v>cicl/año</v>
      </c>
      <c r="K12" s="16"/>
      <c r="M12" s="169"/>
      <c r="N12" s="169"/>
      <c r="O12" s="169"/>
      <c r="P12" s="169"/>
      <c r="Q12" s="169"/>
      <c r="R12" s="169"/>
      <c r="S12" s="169"/>
      <c r="AJ12" s="100">
        <v>4</v>
      </c>
      <c r="AK12" s="178">
        <f>DATOS!$AK$22*4</f>
        <v>1.7213264480457529</v>
      </c>
      <c r="AL12" s="101">
        <f>IF(AK12&lt;&gt;"",0,"")</f>
        <v>0</v>
      </c>
      <c r="AM12" s="101">
        <f>IF(AK12&lt;&gt;"",DATOS!$AK$23,"")</f>
        <v>3.42</v>
      </c>
      <c r="AN12" s="179">
        <f>IF(AK12&lt;&gt;"",DATOS!$AK$24,"")</f>
        <v>38.729821843122387</v>
      </c>
      <c r="AP12" s="101">
        <f>(($AP$15-$AP$9)/5)+AP11</f>
        <v>170.41131835652953</v>
      </c>
      <c r="AQ12" s="101">
        <f>DATOS!$D$5*DATOS!$D$4/AP12</f>
        <v>105.62678684487923</v>
      </c>
      <c r="AR12" s="101">
        <f>IF(DATOS!$F$9&lt;&gt;300000000,((AP12/2)+DATOS!$I$13)*DATOS!$D$7*DATOS!$D$6,((((DATOS!$F$9-DATOS!$D$4)*AP12/DATOS!$F$9)/2)+DATOS!$I$13)*DATOS!$D$7*DATOS!$D$6)</f>
        <v>511.2336483292155</v>
      </c>
    </row>
    <row r="13" spans="1:44" ht="15" x14ac:dyDescent="0.25">
      <c r="A13" s="169"/>
      <c r="B13" s="12" t="s">
        <v>8</v>
      </c>
      <c r="C13" s="2" t="s">
        <v>52</v>
      </c>
      <c r="D13" s="6">
        <f>SQRT(D12*D8)</f>
        <v>0</v>
      </c>
      <c r="E13" s="12"/>
      <c r="F13" s="169"/>
      <c r="G13" s="14" t="s">
        <v>28</v>
      </c>
      <c r="H13" s="2" t="s">
        <v>31</v>
      </c>
      <c r="I13" s="11">
        <f>IF(I4=0,0,F10*D13)</f>
        <v>0</v>
      </c>
      <c r="J13" s="14" t="str">
        <f t="shared" si="0"/>
        <v>u</v>
      </c>
      <c r="K13" s="16"/>
      <c r="M13" s="169"/>
      <c r="N13" s="169"/>
      <c r="O13" s="169"/>
      <c r="P13" s="169"/>
      <c r="Q13" s="169"/>
      <c r="R13" s="169"/>
      <c r="S13" s="169"/>
      <c r="AJ13" s="100">
        <v>4</v>
      </c>
      <c r="AK13" s="178">
        <f>AK12+DATOS!$AK$25</f>
        <v>1.7213267062447202</v>
      </c>
      <c r="AL13" s="101">
        <f>IF(AK13&lt;&gt;"",DATOS!AK21,"")</f>
        <v>77.459643686244775</v>
      </c>
      <c r="AM13" s="101">
        <f>IF(AK13&lt;&gt;"",DATOS!$AK$23,"")</f>
        <v>3.42</v>
      </c>
      <c r="AN13" s="179">
        <f>IF(AK13&lt;&gt;"",DATOS!$AK$24,"")</f>
        <v>38.729821843122387</v>
      </c>
      <c r="AP13" s="101">
        <f>(($AP$15-$AP$9)/5)+AP12</f>
        <v>201.3951944213531</v>
      </c>
      <c r="AQ13" s="101">
        <f>DATOS!$D$5*DATOS!$D$4/AP13</f>
        <v>89.376511945667033</v>
      </c>
      <c r="AR13" s="101">
        <f>IF(DATOS!$F$9&lt;&gt;300000000,((AP13/2)+DATOS!$I$13)*DATOS!$D$7*DATOS!$D$6,((((DATOS!$F$9-DATOS!$D$4)*AP13/DATOS!$F$9)/2)+DATOS!$I$13)*DATOS!$D$7*DATOS!$D$6)</f>
        <v>604.18522075270937</v>
      </c>
    </row>
    <row r="14" spans="1:44" ht="15" x14ac:dyDescent="0.25">
      <c r="A14" s="169"/>
      <c r="B14" s="12"/>
      <c r="C14" s="2"/>
      <c r="D14" s="6"/>
      <c r="E14" s="12"/>
      <c r="F14" s="169"/>
      <c r="G14" s="108" t="s">
        <v>41</v>
      </c>
      <c r="H14" s="2" t="s">
        <v>42</v>
      </c>
      <c r="I14" s="3" t="str">
        <f>IF(I13&gt;0,I6+I13,"")</f>
        <v/>
      </c>
      <c r="J14" s="13"/>
      <c r="K14" s="12"/>
      <c r="M14" s="169"/>
      <c r="N14" s="169"/>
      <c r="O14" s="169"/>
      <c r="P14" s="169"/>
      <c r="Q14" s="169"/>
      <c r="R14" s="169"/>
      <c r="S14" s="169"/>
      <c r="AJ14" s="100">
        <v>5</v>
      </c>
      <c r="AK14" s="178">
        <f>DATOS!$AK$22*5</f>
        <v>2.1516580600571911</v>
      </c>
      <c r="AL14" s="101">
        <f>IF(AK14&lt;&gt;"",0,"")</f>
        <v>0</v>
      </c>
      <c r="AM14" s="101">
        <f>IF(AK14&lt;&gt;"",DATOS!$AK$23,"")</f>
        <v>3.42</v>
      </c>
      <c r="AN14" s="179">
        <f>IF(AK14&lt;&gt;"",DATOS!$AK$24,"")</f>
        <v>38.729821843122387</v>
      </c>
      <c r="AP14" s="101">
        <f>(($AP$15-$AP$9)/5)+AP13</f>
        <v>232.37907048617666</v>
      </c>
      <c r="AQ14" s="101">
        <f>DATOS!$D$5*DATOS!$D$4/AP14</f>
        <v>77.45964368624476</v>
      </c>
      <c r="AR14" s="101">
        <f>IF(DATOS!$F$9&lt;&gt;300000000,((AP14/2)+DATOS!$I$13)*DATOS!$D$7*DATOS!$D$6,((((DATOS!$F$9-DATOS!$D$4)*AP14/DATOS!$F$9)/2)+DATOS!$I$13)*DATOS!$D$7*DATOS!$D$6)</f>
        <v>697.13679317620313</v>
      </c>
    </row>
    <row r="15" spans="1:44" ht="7.5" customHeight="1" x14ac:dyDescent="0.25">
      <c r="A15" s="169"/>
      <c r="B15" s="169"/>
      <c r="C15" s="171"/>
      <c r="D15" s="169"/>
      <c r="E15" s="169"/>
      <c r="F15" s="169"/>
      <c r="G15" s="169"/>
      <c r="H15" s="171"/>
      <c r="I15" s="172"/>
      <c r="J15" s="169"/>
      <c r="K15" s="169"/>
      <c r="L15" s="172"/>
      <c r="M15" s="169"/>
      <c r="N15" s="169"/>
      <c r="O15" s="169"/>
      <c r="P15" s="169"/>
      <c r="Q15" s="169"/>
      <c r="R15" s="169"/>
      <c r="S15" s="169"/>
      <c r="AJ15" s="100">
        <v>5</v>
      </c>
      <c r="AK15" s="178">
        <f>+AK14+DATOS!$AK$25</f>
        <v>2.1516583182561582</v>
      </c>
      <c r="AL15" s="101">
        <f>IF(AK15&lt;&gt;"",DATOS!AK21,"")</f>
        <v>77.459643686244775</v>
      </c>
      <c r="AM15" s="101">
        <f>IF(AK15&lt;&gt;"",DATOS!$AK$23,"")</f>
        <v>3.42</v>
      </c>
      <c r="AN15" s="179">
        <f>IF(AK15&lt;&gt;"",DATOS!$AK$24,"")</f>
        <v>38.729821843122387</v>
      </c>
      <c r="AP15" s="101">
        <f>AP9*3</f>
        <v>232.37907048617663</v>
      </c>
      <c r="AQ15" s="101">
        <f>DATOS!$D$5*DATOS!$D$4/AP15</f>
        <v>77.459643686244775</v>
      </c>
      <c r="AR15" s="101">
        <f>IF(DATOS!$F$9&lt;&gt;300000000,((AP15/2)+DATOS!$I$13)*DATOS!$D$7*DATOS!$D$6,((((DATOS!$F$9-DATOS!$D$4)*AP15/DATOS!$F$9)/2)+DATOS!$I$13)*DATOS!$D$7*DATOS!$D$6)</f>
        <v>697.13679317620301</v>
      </c>
    </row>
    <row r="16" spans="1:44" ht="15.75" thickBot="1" x14ac:dyDescent="0.3">
      <c r="A16" s="169"/>
      <c r="B16" s="12" t="s">
        <v>9</v>
      </c>
      <c r="C16" s="2" t="s">
        <v>20</v>
      </c>
      <c r="D16" s="27"/>
      <c r="E16" s="12" t="str">
        <f>D3</f>
        <v>año</v>
      </c>
      <c r="F16" s="170"/>
      <c r="G16" s="14" t="s">
        <v>98</v>
      </c>
      <c r="H16" s="40" t="s">
        <v>99</v>
      </c>
      <c r="I16" s="3" t="str">
        <f>IF(OR(D16=0,D16=""),"",NORMINV(D10,D19,D17))</f>
        <v/>
      </c>
      <c r="J16" s="14" t="str">
        <f t="shared" si="0"/>
        <v>u</v>
      </c>
      <c r="K16" s="169"/>
      <c r="L16" s="172"/>
      <c r="M16" s="169"/>
      <c r="N16" s="169"/>
      <c r="O16" s="169"/>
      <c r="P16" s="169"/>
      <c r="Q16" s="169"/>
      <c r="R16" s="169"/>
      <c r="S16" s="169"/>
      <c r="AJ16" s="100">
        <v>6</v>
      </c>
      <c r="AK16" s="180">
        <f>DATOS!$AK$22*6</f>
        <v>2.5819896720686293</v>
      </c>
      <c r="AL16" s="181">
        <f>IF(AK16&lt;&gt;"",0,"")</f>
        <v>0</v>
      </c>
      <c r="AM16" s="181">
        <f>IF(AK16&lt;&gt;"",DATOS!$AK$23,"")</f>
        <v>3.42</v>
      </c>
      <c r="AN16" s="182">
        <f>IF(AK16&lt;&gt;"",DATOS!$AK$24,"")</f>
        <v>38.729821843122387</v>
      </c>
    </row>
    <row r="17" spans="1:40" ht="15" x14ac:dyDescent="0.25">
      <c r="A17" s="169"/>
      <c r="B17" s="12" t="s">
        <v>10</v>
      </c>
      <c r="C17" s="2" t="s">
        <v>167</v>
      </c>
      <c r="D17" s="6">
        <f>SQRT(D16+D8)*D12</f>
        <v>0</v>
      </c>
      <c r="E17" s="12"/>
      <c r="F17" s="170"/>
      <c r="G17" s="108" t="s">
        <v>97</v>
      </c>
      <c r="H17" s="2" t="s">
        <v>29</v>
      </c>
      <c r="I17" s="166" t="str">
        <f>IFERROR(NORMINV(D10,D19,D17)-D18,"")</f>
        <v/>
      </c>
      <c r="J17" s="12" t="str">
        <f t="shared" si="0"/>
        <v>u</v>
      </c>
      <c r="K17" s="169"/>
      <c r="L17" s="169"/>
      <c r="M17" s="169"/>
      <c r="N17" s="169"/>
      <c r="O17" s="169"/>
      <c r="P17" s="169"/>
      <c r="Q17" s="169"/>
      <c r="R17" s="169"/>
      <c r="S17" s="169"/>
      <c r="AJ17" s="100">
        <v>6</v>
      </c>
      <c r="AK17" s="101">
        <f>+AK16+DATOS!$AK$25</f>
        <v>2.5819899302675964</v>
      </c>
      <c r="AL17" s="101">
        <f>IF(AK17&lt;&gt;"",DATOS!AK21,"")</f>
        <v>77.459643686244775</v>
      </c>
      <c r="AM17" s="101">
        <f>IF(AK17&lt;&gt;"",DATOS!$AK$23,"")</f>
        <v>3.42</v>
      </c>
      <c r="AN17" s="101">
        <f>IF(AK17&lt;&gt;"",DATOS!$AK$24,"")</f>
        <v>38.729821843122387</v>
      </c>
    </row>
    <row r="18" spans="1:40" x14ac:dyDescent="0.2">
      <c r="A18" s="169"/>
      <c r="B18" s="12" t="s">
        <v>11</v>
      </c>
      <c r="C18" s="2" t="s">
        <v>21</v>
      </c>
      <c r="D18" s="25"/>
      <c r="E18" s="12" t="str">
        <f>D2</f>
        <v>u</v>
      </c>
      <c r="F18" s="211" t="s">
        <v>23</v>
      </c>
      <c r="G18" s="212" t="s">
        <v>58</v>
      </c>
      <c r="H18" s="212"/>
      <c r="I18" s="212"/>
      <c r="J18" s="212"/>
      <c r="K18" s="212"/>
      <c r="L18" s="212"/>
      <c r="M18" s="169"/>
      <c r="N18" s="169"/>
      <c r="O18" s="169"/>
      <c r="P18" s="169"/>
      <c r="Q18" s="169"/>
      <c r="R18" s="169"/>
      <c r="S18" s="169"/>
    </row>
    <row r="19" spans="1:40" ht="14.25" x14ac:dyDescent="0.25">
      <c r="A19" s="169"/>
      <c r="B19" s="12" t="s">
        <v>12</v>
      </c>
      <c r="C19" s="2" t="s">
        <v>168</v>
      </c>
      <c r="D19" s="6">
        <f>D4*(D16+D8)</f>
        <v>3.42</v>
      </c>
      <c r="E19" s="12" t="str">
        <f>D2</f>
        <v>u</v>
      </c>
      <c r="F19" s="211" t="s">
        <v>23</v>
      </c>
      <c r="G19" s="212" t="s">
        <v>62</v>
      </c>
      <c r="H19" s="212"/>
      <c r="I19" s="212"/>
      <c r="J19" s="212"/>
      <c r="K19" s="212"/>
      <c r="L19" s="212"/>
      <c r="M19" s="169"/>
      <c r="N19" s="169"/>
      <c r="O19" s="169"/>
      <c r="P19" s="169"/>
      <c r="Q19" s="169"/>
      <c r="R19" s="169"/>
      <c r="S19" s="169"/>
    </row>
    <row r="20" spans="1:40" ht="6.75" customHeight="1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AK20" s="101">
        <f>DATOS!I12</f>
        <v>2.3237893105873431</v>
      </c>
      <c r="AM20" s="99" t="s">
        <v>38</v>
      </c>
      <c r="AN20" s="101" t="s">
        <v>47</v>
      </c>
    </row>
    <row r="21" spans="1:40" ht="15.75" thickBot="1" x14ac:dyDescent="0.3">
      <c r="A21" s="169"/>
      <c r="B21" s="1" t="s">
        <v>59</v>
      </c>
      <c r="F21" s="251"/>
      <c r="G21" s="252" t="s">
        <v>61</v>
      </c>
      <c r="H21" s="253"/>
      <c r="I21" s="255"/>
      <c r="J21" s="258" t="s">
        <v>113</v>
      </c>
      <c r="K21" s="257"/>
      <c r="L21" s="215"/>
      <c r="M21" s="169"/>
      <c r="N21" s="169"/>
      <c r="O21" s="169"/>
      <c r="P21" s="169"/>
      <c r="Q21" s="169"/>
      <c r="R21" s="169"/>
      <c r="S21" s="169"/>
      <c r="AK21" s="101">
        <f>+DATOS!I5</f>
        <v>77.459643686244775</v>
      </c>
      <c r="AM21" s="99" t="s">
        <v>44</v>
      </c>
      <c r="AN21" s="100" t="s">
        <v>48</v>
      </c>
    </row>
    <row r="22" spans="1:40" ht="15.75" thickBot="1" x14ac:dyDescent="0.3">
      <c r="A22" s="174">
        <v>300000000</v>
      </c>
      <c r="B22" s="267" t="s">
        <v>60</v>
      </c>
      <c r="F22" s="251"/>
      <c r="G22" s="262" t="str">
        <f>IF(D16="",IF(F9=A22,"EOQ","POQ"),"Revisión periódica")</f>
        <v>EOQ</v>
      </c>
      <c r="H22" s="215"/>
      <c r="I22" s="215"/>
      <c r="J22" s="215"/>
      <c r="K22" s="256"/>
      <c r="L22" s="215"/>
      <c r="M22" s="169"/>
      <c r="N22" s="169"/>
      <c r="O22" s="169"/>
      <c r="P22" s="169"/>
      <c r="Q22" s="169"/>
      <c r="R22" s="169"/>
      <c r="S22" s="169"/>
      <c r="AJ22" s="99">
        <v>1</v>
      </c>
      <c r="AK22" s="101">
        <f>+DATOS!I9</f>
        <v>0.43033161201143821</v>
      </c>
      <c r="AM22" s="99" t="s">
        <v>88</v>
      </c>
      <c r="AN22" s="100" t="s">
        <v>49</v>
      </c>
    </row>
    <row r="23" spans="1:40" ht="15.75" thickBot="1" x14ac:dyDescent="0.3">
      <c r="A23" s="169"/>
      <c r="B23" s="169"/>
      <c r="C23" s="169"/>
      <c r="D23" s="169"/>
      <c r="E23" s="169"/>
      <c r="F23" s="169"/>
      <c r="G23" s="250"/>
      <c r="H23" s="248" t="str">
        <f>IF(I13&gt;0,"Con D probabilístico y revisión contínua","")</f>
        <v/>
      </c>
      <c r="I23" s="249"/>
      <c r="J23" s="259" t="s">
        <v>136</v>
      </c>
      <c r="K23" s="261"/>
      <c r="L23" s="254"/>
      <c r="M23" s="169"/>
      <c r="N23" s="169"/>
      <c r="O23" s="169"/>
      <c r="P23" s="169"/>
      <c r="Q23" s="169"/>
      <c r="R23" s="169"/>
      <c r="S23" s="169"/>
      <c r="AJ23" s="99">
        <v>2</v>
      </c>
      <c r="AK23" s="101">
        <f>+DATOS!I6</f>
        <v>3.42</v>
      </c>
      <c r="AM23" s="99" t="s">
        <v>45</v>
      </c>
    </row>
    <row r="24" spans="1:40" ht="16.5" thickTop="1" thickBot="1" x14ac:dyDescent="0.3">
      <c r="A24" s="169"/>
      <c r="B24" s="268" t="s">
        <v>178</v>
      </c>
      <c r="C24" s="271"/>
      <c r="D24" s="271"/>
      <c r="E24" s="270"/>
      <c r="F24" s="169"/>
      <c r="G24" s="169"/>
      <c r="H24" s="169"/>
      <c r="I24" s="169"/>
      <c r="J24" s="260"/>
      <c r="K24" s="260"/>
      <c r="L24" s="169"/>
      <c r="M24" s="169"/>
      <c r="N24" s="169"/>
      <c r="O24" s="169"/>
      <c r="P24" s="169"/>
      <c r="Q24" s="169"/>
      <c r="R24" s="169"/>
      <c r="S24" s="169"/>
      <c r="AJ24" s="99">
        <v>3</v>
      </c>
      <c r="AK24" s="101">
        <f>+DATOS!I5/2</f>
        <v>38.729821843122387</v>
      </c>
      <c r="AM24" s="99" t="s">
        <v>46</v>
      </c>
      <c r="AN24" s="99" t="s">
        <v>115</v>
      </c>
    </row>
    <row r="25" spans="1:40" ht="15.75" thickTop="1" x14ac:dyDescent="0.25">
      <c r="A25" s="169"/>
      <c r="B25" s="269"/>
      <c r="C25" s="269"/>
      <c r="D25" s="269"/>
      <c r="E25" s="2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AJ25" s="99">
        <v>4</v>
      </c>
      <c r="AK25" s="101">
        <f>+DATOS!I10</f>
        <v>2.581989672068629E-7</v>
      </c>
      <c r="AM25" s="99" t="s">
        <v>89</v>
      </c>
      <c r="AN25" s="99" t="s">
        <v>116</v>
      </c>
    </row>
    <row r="26" spans="1:40" ht="13.5" thickBot="1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AN26" s="99" t="s">
        <v>118</v>
      </c>
    </row>
    <row r="27" spans="1:40" ht="15" customHeight="1" x14ac:dyDescent="0.25">
      <c r="H27" s="186" t="s">
        <v>177</v>
      </c>
      <c r="I27" s="187"/>
      <c r="J27" s="187"/>
      <c r="K27" s="187"/>
      <c r="L27" s="187"/>
      <c r="M27" s="187"/>
      <c r="N27" s="187"/>
      <c r="O27" s="187"/>
      <c r="P27" s="188"/>
      <c r="T27" s="198" t="s">
        <v>86</v>
      </c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200"/>
    </row>
    <row r="28" spans="1:40" ht="15" customHeight="1" x14ac:dyDescent="0.2">
      <c r="H28" s="189" t="s">
        <v>172</v>
      </c>
      <c r="I28" s="190"/>
      <c r="J28" s="190"/>
      <c r="K28" s="190"/>
      <c r="L28" s="190"/>
      <c r="M28" s="190"/>
      <c r="N28" s="190"/>
      <c r="O28" s="190"/>
      <c r="P28" s="191"/>
      <c r="T28" s="189" t="s">
        <v>114</v>
      </c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1"/>
    </row>
    <row r="29" spans="1:40" ht="15" x14ac:dyDescent="0.25">
      <c r="B29" s="114"/>
      <c r="C29" s="114"/>
      <c r="D29" s="115"/>
      <c r="E29" s="116"/>
      <c r="F29" s="114"/>
      <c r="G29" s="114"/>
      <c r="H29" s="148"/>
      <c r="I29" s="149"/>
      <c r="J29" s="149"/>
      <c r="K29" s="106" t="s">
        <v>102</v>
      </c>
      <c r="L29" s="106"/>
      <c r="M29" s="107" t="s">
        <v>15</v>
      </c>
      <c r="N29" s="130">
        <v>20</v>
      </c>
      <c r="P29" s="157"/>
      <c r="T29" s="66" t="s">
        <v>135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8"/>
    </row>
    <row r="30" spans="1:40" x14ac:dyDescent="0.2">
      <c r="B30" s="114"/>
      <c r="C30" s="114"/>
      <c r="D30" s="115"/>
      <c r="E30" s="116"/>
      <c r="F30" s="114"/>
      <c r="G30" s="114"/>
      <c r="H30" s="150"/>
      <c r="I30" s="151"/>
      <c r="J30" s="149"/>
      <c r="K30" s="108" t="s">
        <v>103</v>
      </c>
      <c r="L30" s="108"/>
      <c r="M30" s="109" t="s">
        <v>18</v>
      </c>
      <c r="N30" s="131">
        <v>50</v>
      </c>
      <c r="P30" s="157"/>
      <c r="T30" s="47"/>
      <c r="U30" s="42"/>
      <c r="V30" s="12" t="s">
        <v>143</v>
      </c>
      <c r="W30" s="12"/>
      <c r="X30" s="12"/>
      <c r="Y30" s="12"/>
      <c r="Z30" s="12"/>
      <c r="AA30" s="93">
        <v>2</v>
      </c>
      <c r="AB30" s="78" t="s">
        <v>140</v>
      </c>
      <c r="AC30" s="42"/>
      <c r="AD30" s="42"/>
      <c r="AE30" s="48"/>
    </row>
    <row r="31" spans="1:40" x14ac:dyDescent="0.2">
      <c r="B31" s="114"/>
      <c r="C31" s="114"/>
      <c r="D31" s="115"/>
      <c r="E31" s="116"/>
      <c r="F31" s="114"/>
      <c r="G31" s="114"/>
      <c r="H31" s="150"/>
      <c r="I31" s="151"/>
      <c r="J31" s="149"/>
      <c r="K31" s="106" t="s">
        <v>112</v>
      </c>
      <c r="L31" s="106"/>
      <c r="M31" s="107" t="s">
        <v>31</v>
      </c>
      <c r="N31" s="130">
        <v>10</v>
      </c>
      <c r="P31" s="157"/>
      <c r="T31" s="47"/>
      <c r="U31" s="42"/>
      <c r="V31" s="12" t="str">
        <f>IF(AA30&gt;0,"Tramo 1°. % descuento ","")</f>
        <v xml:space="preserve">Tramo 1°. % descuento </v>
      </c>
      <c r="W31" s="12"/>
      <c r="X31" s="90">
        <v>10</v>
      </c>
      <c r="Y31" s="12" t="str">
        <f>IF(AA30&gt;0,"Descuento 1: de  0 a","")</f>
        <v>Descuento 1: de  0 a</v>
      </c>
      <c r="Z31" s="12"/>
      <c r="AA31" s="90">
        <v>50</v>
      </c>
      <c r="AB31" s="77" t="str">
        <f>IF(AA30&gt;0,"0 a "&amp;AA31,"")</f>
        <v>0 a 50</v>
      </c>
      <c r="AC31" s="42"/>
      <c r="AD31" s="42"/>
      <c r="AE31" s="48"/>
    </row>
    <row r="32" spans="1:40" x14ac:dyDescent="0.2">
      <c r="B32" s="114"/>
      <c r="C32" s="114"/>
      <c r="D32" s="115"/>
      <c r="E32" s="116"/>
      <c r="F32" s="114"/>
      <c r="G32" s="114"/>
      <c r="H32" s="150"/>
      <c r="I32" s="151"/>
      <c r="J32" s="149"/>
      <c r="K32" s="108" t="s">
        <v>104</v>
      </c>
      <c r="L32" s="108"/>
      <c r="M32" s="109" t="s">
        <v>101</v>
      </c>
      <c r="N32" s="131">
        <v>20</v>
      </c>
      <c r="P32" s="157"/>
      <c r="T32" s="47"/>
      <c r="U32" s="42"/>
      <c r="V32" s="12" t="str">
        <f>IF(AA30&gt;1,"Tramo 2°. % descuento","")</f>
        <v>Tramo 2°. % descuento</v>
      </c>
      <c r="W32" s="12"/>
      <c r="X32" s="90">
        <v>20</v>
      </c>
      <c r="Y32" s="12" t="str">
        <f>IF(AA30&gt;1, "Descuento 2: de "&amp;AA31+1&amp;" a ","")</f>
        <v xml:space="preserve">Descuento 2: de 51 a </v>
      </c>
      <c r="Z32" s="12"/>
      <c r="AA32" s="90">
        <v>100</v>
      </c>
      <c r="AB32" s="77" t="str">
        <f>IF(AA30&gt;1,AA31+1&amp;" a "&amp;AA32,"")</f>
        <v>51 a 100</v>
      </c>
      <c r="AC32" s="42"/>
      <c r="AD32" s="42"/>
      <c r="AE32" s="48"/>
    </row>
    <row r="33" spans="2:38" x14ac:dyDescent="0.2">
      <c r="B33" s="114"/>
      <c r="C33" s="114"/>
      <c r="D33" s="117"/>
      <c r="E33" s="118"/>
      <c r="G33" s="119"/>
      <c r="H33" s="150"/>
      <c r="I33" s="151"/>
      <c r="J33" s="149"/>
      <c r="K33" s="106" t="s">
        <v>152</v>
      </c>
      <c r="L33" s="106"/>
      <c r="M33" s="132" t="s">
        <v>53</v>
      </c>
      <c r="N33" s="133">
        <v>0.6</v>
      </c>
      <c r="O33" s="134">
        <f>N33</f>
        <v>0.6</v>
      </c>
      <c r="P33" s="157"/>
      <c r="T33" s="47"/>
      <c r="U33" s="42"/>
      <c r="V33" s="12" t="str">
        <f>IF(AA30&gt;2,"Tramo 3°. % descuento","")</f>
        <v/>
      </c>
      <c r="W33" s="12"/>
      <c r="X33" s="90"/>
      <c r="Y33" s="12" t="str">
        <f>IF(AA30&gt;2,"Descuento 3: de "&amp;AA32+1&amp;" a ","")</f>
        <v/>
      </c>
      <c r="Z33" s="12"/>
      <c r="AA33" s="90"/>
      <c r="AB33" s="77" t="str">
        <f>IF(AA30&gt;2,AA32+1&amp;" a "&amp;AA33,"")</f>
        <v/>
      </c>
      <c r="AC33" s="42"/>
      <c r="AD33" s="42"/>
      <c r="AE33" s="48"/>
    </row>
    <row r="34" spans="2:38" x14ac:dyDescent="0.2">
      <c r="B34" s="114"/>
      <c r="C34" s="114"/>
      <c r="D34" s="115"/>
      <c r="E34" s="114"/>
      <c r="F34" s="120"/>
      <c r="G34" s="114"/>
      <c r="H34" s="150"/>
      <c r="I34" s="151"/>
      <c r="J34" s="149"/>
      <c r="K34" s="108" t="s">
        <v>171</v>
      </c>
      <c r="L34" s="108"/>
      <c r="M34" s="109" t="s">
        <v>14</v>
      </c>
      <c r="N34" s="135">
        <v>200</v>
      </c>
      <c r="O34" s="136"/>
      <c r="P34" s="157"/>
      <c r="T34" s="47"/>
      <c r="U34" s="42"/>
      <c r="V34" s="12" t="str">
        <f>IF(AA30&gt;3,"Tramo 4°. % descuento","")</f>
        <v/>
      </c>
      <c r="W34" s="12"/>
      <c r="X34" s="91"/>
      <c r="Y34" s="12" t="str">
        <f>IF(AA30&gt;3,"Descuento 4: de "&amp;AA33+1&amp;" a","")</f>
        <v/>
      </c>
      <c r="Z34" s="12"/>
      <c r="AA34" s="91"/>
      <c r="AB34" s="77" t="str">
        <f>IF(AA30&gt;3,AA33+1&amp;" a "&amp;AA34,"")</f>
        <v/>
      </c>
      <c r="AC34" s="42"/>
      <c r="AD34" s="42"/>
      <c r="AE34" s="48"/>
    </row>
    <row r="35" spans="2:38" x14ac:dyDescent="0.2">
      <c r="B35" s="114"/>
      <c r="C35" s="114"/>
      <c r="D35" s="115"/>
      <c r="E35" s="114"/>
      <c r="F35" s="120"/>
      <c r="G35" s="114"/>
      <c r="H35" s="150"/>
      <c r="I35" s="151"/>
      <c r="J35" s="149"/>
      <c r="K35" s="106" t="s">
        <v>106</v>
      </c>
      <c r="L35" s="106"/>
      <c r="M35" s="107" t="s">
        <v>108</v>
      </c>
      <c r="N35" s="130">
        <v>2000</v>
      </c>
      <c r="O35" s="136"/>
      <c r="P35" s="157"/>
      <c r="T35" s="47"/>
      <c r="U35" s="42"/>
      <c r="V35" s="62" t="s">
        <v>142</v>
      </c>
      <c r="W35" s="63"/>
      <c r="X35" s="92">
        <v>2</v>
      </c>
      <c r="Y35" s="63"/>
      <c r="Z35" s="63"/>
      <c r="AA35" s="75">
        <v>2.9999999999999998E+30</v>
      </c>
      <c r="AB35" s="76"/>
      <c r="AC35" s="42"/>
      <c r="AD35" s="42"/>
      <c r="AE35" s="48"/>
    </row>
    <row r="36" spans="2:38" ht="13.5" thickBot="1" x14ac:dyDescent="0.25">
      <c r="B36" s="114"/>
      <c r="C36" s="114"/>
      <c r="D36" s="115"/>
      <c r="E36" s="118"/>
      <c r="H36" s="137"/>
      <c r="I36" s="105"/>
      <c r="J36" s="138"/>
      <c r="K36" s="94" t="s">
        <v>163</v>
      </c>
      <c r="L36" s="94"/>
      <c r="M36" s="110" t="s">
        <v>109</v>
      </c>
      <c r="N36" s="111">
        <v>300</v>
      </c>
      <c r="O36" s="136"/>
      <c r="P36" s="157"/>
      <c r="T36" s="47"/>
      <c r="U36" s="42"/>
      <c r="V36" s="84" t="s">
        <v>117</v>
      </c>
      <c r="W36" s="64"/>
      <c r="X36" s="65">
        <v>1</v>
      </c>
      <c r="Y36" s="64"/>
      <c r="Z36" s="81"/>
      <c r="AA36" s="83" t="s">
        <v>141</v>
      </c>
      <c r="AB36" s="82"/>
      <c r="AC36" s="42"/>
      <c r="AD36" s="42"/>
      <c r="AE36" s="48"/>
    </row>
    <row r="37" spans="2:38" ht="13.5" thickBot="1" x14ac:dyDescent="0.25">
      <c r="B37" s="114"/>
      <c r="C37" s="114"/>
      <c r="D37" s="115"/>
      <c r="E37" s="116"/>
      <c r="G37" s="121"/>
      <c r="H37" s="137"/>
      <c r="I37" s="105"/>
      <c r="J37" s="138"/>
      <c r="K37" s="106" t="s">
        <v>161</v>
      </c>
      <c r="L37" s="106"/>
      <c r="M37" s="107" t="s">
        <v>147</v>
      </c>
      <c r="N37" s="106">
        <f>N30-N29+N32</f>
        <v>50</v>
      </c>
      <c r="O37" s="136"/>
      <c r="P37" s="157"/>
      <c r="T37" s="47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8"/>
    </row>
    <row r="38" spans="2:38" x14ac:dyDescent="0.2">
      <c r="B38" s="114"/>
      <c r="C38" s="114"/>
      <c r="D38" s="117"/>
      <c r="E38" s="118"/>
      <c r="G38" s="119"/>
      <c r="H38" s="244" t="s">
        <v>149</v>
      </c>
      <c r="I38" s="105"/>
      <c r="J38" s="138">
        <f>N29-N31</f>
        <v>10</v>
      </c>
      <c r="K38" s="108" t="s">
        <v>162</v>
      </c>
      <c r="L38" s="108"/>
      <c r="M38" s="109" t="s">
        <v>148</v>
      </c>
      <c r="N38" s="108">
        <f>+N29-N31</f>
        <v>10</v>
      </c>
      <c r="O38" s="136"/>
      <c r="P38" s="157"/>
      <c r="T38" s="47"/>
      <c r="U38" s="51" t="s">
        <v>130</v>
      </c>
      <c r="V38" s="52" t="s">
        <v>15</v>
      </c>
      <c r="W38" s="53" t="s">
        <v>119</v>
      </c>
      <c r="X38" s="53" t="s">
        <v>131</v>
      </c>
      <c r="Y38" s="53" t="s">
        <v>132</v>
      </c>
      <c r="Z38" s="52" t="s">
        <v>133</v>
      </c>
      <c r="AA38" s="74" t="s">
        <v>134</v>
      </c>
      <c r="AB38" s="69" t="s">
        <v>120</v>
      </c>
      <c r="AC38" s="51" t="s">
        <v>138</v>
      </c>
      <c r="AD38" s="54" t="s">
        <v>139</v>
      </c>
      <c r="AE38" s="48"/>
    </row>
    <row r="39" spans="2:38" x14ac:dyDescent="0.2">
      <c r="B39" s="122"/>
      <c r="C39" s="114"/>
      <c r="D39" s="115"/>
      <c r="E39" s="123"/>
      <c r="G39" s="119"/>
      <c r="H39" s="244" t="s">
        <v>150</v>
      </c>
      <c r="I39" s="105"/>
      <c r="J39" s="138">
        <f>N30-N29+N32</f>
        <v>50</v>
      </c>
      <c r="K39" s="139" t="s">
        <v>107</v>
      </c>
      <c r="L39" s="106"/>
      <c r="M39" s="107" t="s">
        <v>32</v>
      </c>
      <c r="N39" s="112">
        <f>NORMINV(N40,N35,N36)</f>
        <v>2290.2264698305103</v>
      </c>
      <c r="O39" s="136"/>
      <c r="P39" s="157"/>
      <c r="T39" s="47"/>
      <c r="U39" s="55" t="s">
        <v>126</v>
      </c>
      <c r="V39" s="79">
        <f>U48</f>
        <v>20</v>
      </c>
      <c r="W39" s="46" t="str">
        <f>"De 0 a "&amp;AA31-1&amp;": 0 %"</f>
        <v>De 0 a 49: 0 %</v>
      </c>
      <c r="X39" s="45">
        <f>V48</f>
        <v>77.459666924148337</v>
      </c>
      <c r="Y39" s="45">
        <f>IFERROR(W48+X48+IF($X$35=1,V39*$D$4,$D$6*$D$4),"")</f>
        <v>4064.7580015448902</v>
      </c>
      <c r="Z39" s="44" t="str">
        <f>Y48</f>
        <v>NO</v>
      </c>
      <c r="AA39" s="67">
        <f>IF(Z48&lt;&gt;0,Z48,"")</f>
        <v>50</v>
      </c>
      <c r="AB39" s="70">
        <f>IFERROR(AD48,"")</f>
        <v>4110</v>
      </c>
      <c r="AC39" s="72">
        <f>IFERROR(AA48,"")</f>
        <v>360</v>
      </c>
      <c r="AD39" s="56">
        <f>IFERROR(AC48,"")</f>
        <v>150</v>
      </c>
      <c r="AE39" s="48"/>
    </row>
    <row r="40" spans="2:38" x14ac:dyDescent="0.2">
      <c r="B40" s="114"/>
      <c r="C40" s="114"/>
      <c r="D40" s="115"/>
      <c r="E40" s="124"/>
      <c r="G40" s="119"/>
      <c r="H40" s="244" t="s">
        <v>137</v>
      </c>
      <c r="I40" s="105"/>
      <c r="J40" s="138">
        <f>J39/(J39+J38)</f>
        <v>0.83333333333333337</v>
      </c>
      <c r="K40" s="94" t="s">
        <v>105</v>
      </c>
      <c r="L40" s="94"/>
      <c r="M40" s="95" t="s">
        <v>100</v>
      </c>
      <c r="N40" s="128">
        <f>N37/(N37+N38)</f>
        <v>0.83333333333333337</v>
      </c>
      <c r="O40" s="140">
        <f>N40</f>
        <v>0.83333333333333337</v>
      </c>
      <c r="P40" s="157"/>
      <c r="T40" s="47"/>
      <c r="U40" s="55" t="str">
        <f>IF($AA$30&gt;=1,"CORTE 1","")</f>
        <v>CORTE 1</v>
      </c>
      <c r="V40" s="79">
        <f>IF($AA$30&gt;=1,U49,"")</f>
        <v>18</v>
      </c>
      <c r="W40" s="46" t="str">
        <f>IF(U41&lt;&gt;"",IF(X31&gt;0,"De "&amp;AA31&amp;" a "&amp;AA32-1&amp;": "&amp;X31&amp;"%",""),IF(X31&gt;0,"Desede "&amp;AA31&amp;": "&amp;X31&amp;"%",""))</f>
        <v>De 50 a 99: 10%</v>
      </c>
      <c r="X40" s="45">
        <f>V49</f>
        <v>81.649658092772611</v>
      </c>
      <c r="Y40" s="45">
        <f>IFERROR(W49+X49+IF($X$35=1,V40*$D$4,$D$6*$D$4),"")</f>
        <v>4040.908153700972</v>
      </c>
      <c r="Z40" s="44" t="str">
        <f>IF(U40="","",Y49)</f>
        <v>SI</v>
      </c>
      <c r="AA40" s="67">
        <f>IF(Z49&lt;&gt;0,Z49,"")</f>
        <v>81.649658092772611</v>
      </c>
      <c r="AB40" s="70">
        <f>IFERROR(AD49,"")</f>
        <v>3705.4030511288042</v>
      </c>
      <c r="AC40" s="72">
        <f>IFERROR(AA49,"")</f>
        <v>220.45407685048602</v>
      </c>
      <c r="AD40" s="56">
        <f>IFERROR(AC49,"")</f>
        <v>244.94897427831785</v>
      </c>
      <c r="AE40" s="48"/>
    </row>
    <row r="41" spans="2:38" x14ac:dyDescent="0.2">
      <c r="B41" s="114"/>
      <c r="C41" s="114"/>
      <c r="D41" s="115"/>
      <c r="E41" s="124"/>
      <c r="G41" s="119"/>
      <c r="H41" s="245" t="s">
        <v>151</v>
      </c>
      <c r="I41" s="105"/>
      <c r="J41" s="138">
        <f>NORMINV(J40,N35,N36)</f>
        <v>2290.2264698305103</v>
      </c>
      <c r="K41" s="108"/>
      <c r="L41" s="108"/>
      <c r="M41" s="109"/>
      <c r="N41" s="141"/>
      <c r="O41" s="136"/>
      <c r="P41" s="157"/>
      <c r="T41" s="47"/>
      <c r="U41" s="55" t="str">
        <f>IF($AA$30&gt;=2,"CORTE 2","")</f>
        <v>CORTE 2</v>
      </c>
      <c r="V41" s="79">
        <f>IF($AA$30&gt;=2,U50,"")</f>
        <v>16</v>
      </c>
      <c r="W41" s="46" t="str">
        <f>IF(U42&lt;&gt;"",IF(X32&gt;0,"De "&amp;AA32&amp;" a "&amp;AA33-1&amp;": "&amp;X32&amp;"%",""),IF(X32&gt;0,"Desde "&amp;AA32&amp;": "&amp;X32&amp;"%",""))</f>
        <v>Desde 100: 20%</v>
      </c>
      <c r="X41" s="45">
        <f>V50</f>
        <v>86.602540378443862</v>
      </c>
      <c r="Y41" s="45">
        <f>IFERROR(W50+X50+IF($X$35=1,V41*$D$4,$D$6*$D$4),"")</f>
        <v>4015.6921938165306</v>
      </c>
      <c r="Z41" s="44" t="str">
        <f t="shared" ref="Z41:Z43" si="1">IF(U41="","",Y50)</f>
        <v>NO</v>
      </c>
      <c r="AA41" s="67">
        <f>IF(Z50&lt;&gt;0,Z50,"")</f>
        <v>100</v>
      </c>
      <c r="AB41" s="70">
        <f>IFERROR(AD50,"")</f>
        <v>3360</v>
      </c>
      <c r="AC41" s="72">
        <f>IFERROR(AA50,"")</f>
        <v>180</v>
      </c>
      <c r="AD41" s="56">
        <f>IFERROR(AC50,"")</f>
        <v>300</v>
      </c>
      <c r="AE41" s="48"/>
    </row>
    <row r="42" spans="2:38" x14ac:dyDescent="0.2">
      <c r="B42" s="114"/>
      <c r="C42" s="114"/>
      <c r="D42" s="115"/>
      <c r="E42" s="124"/>
      <c r="G42" s="119"/>
      <c r="H42" s="245" t="s">
        <v>218</v>
      </c>
      <c r="I42" s="105"/>
      <c r="J42" s="142">
        <f>N42</f>
        <v>47581.446084745752</v>
      </c>
      <c r="K42" s="106" t="s">
        <v>110</v>
      </c>
      <c r="L42" s="106"/>
      <c r="M42" s="107" t="s">
        <v>160</v>
      </c>
      <c r="N42" s="143">
        <f>N40*(N30*N35-N29*N39+(N31*(N39-N35)))</f>
        <v>47581.446084745752</v>
      </c>
      <c r="O42" s="136"/>
      <c r="P42" s="157"/>
      <c r="T42" s="47"/>
      <c r="U42" s="55" t="str">
        <f>IF($AA$30&gt;=3,"CORTE 3","")</f>
        <v/>
      </c>
      <c r="V42" s="79" t="str">
        <f>IF($AA$30&gt;=3,U51,"")</f>
        <v/>
      </c>
      <c r="W42" s="46" t="str">
        <f>IF(U43&lt;&gt;"",IF(X33&gt;0,"De "&amp;AA33&amp;" a "&amp;AA34-1&amp;": "&amp;X33&amp;"%",""),IF(X33&gt;0,"Desde "&amp;AA33&amp;": "&amp;X33&amp;"%",""))</f>
        <v/>
      </c>
      <c r="X42" s="45" t="str">
        <f>V51</f>
        <v/>
      </c>
      <c r="Y42" s="45" t="str">
        <f>IFERROR(W51+X51+IF($X$35=1,V42*$D$4,$D$6*$D$4),"")</f>
        <v/>
      </c>
      <c r="Z42" s="44" t="str">
        <f t="shared" si="1"/>
        <v/>
      </c>
      <c r="AA42" s="67" t="str">
        <f>IF(Z51&lt;&gt;0,Z51,"")</f>
        <v/>
      </c>
      <c r="AB42" s="70" t="str">
        <f>IFERROR(AD51,"")</f>
        <v/>
      </c>
      <c r="AC42" s="72" t="str">
        <f>IFERROR(AA51,"")</f>
        <v/>
      </c>
      <c r="AD42" s="56">
        <f>IFERROR(AC51,"")</f>
        <v>0</v>
      </c>
      <c r="AE42" s="48"/>
    </row>
    <row r="43" spans="2:38" ht="13.5" thickBot="1" x14ac:dyDescent="0.25">
      <c r="B43" s="114"/>
      <c r="C43" s="114"/>
      <c r="D43" s="115"/>
      <c r="E43" s="124"/>
      <c r="G43" s="119"/>
      <c r="H43" s="245" t="s">
        <v>170</v>
      </c>
      <c r="I43" s="105"/>
      <c r="J43" s="142">
        <f>N43</f>
        <v>8065.156867796597</v>
      </c>
      <c r="K43" s="108" t="s">
        <v>111</v>
      </c>
      <c r="L43" s="108"/>
      <c r="M43" s="109" t="s">
        <v>159</v>
      </c>
      <c r="N43" s="141">
        <f>(1-N40)*(N30*N35-N29*N39+N32*(N35-N39))</f>
        <v>8065.156867796597</v>
      </c>
      <c r="O43" s="136"/>
      <c r="P43" s="157"/>
      <c r="T43" s="47"/>
      <c r="U43" s="57" t="str">
        <f>IF($AA$30&gt;=4,"CORTE 4","")</f>
        <v/>
      </c>
      <c r="V43" s="80" t="str">
        <f>IF($AA$30&gt;=4,U52,"")</f>
        <v/>
      </c>
      <c r="W43" s="59" t="str">
        <f>IF(X34&gt;0,"Desde "&amp;AA34&amp;": "&amp;X34&amp;"%","")</f>
        <v/>
      </c>
      <c r="X43" s="60" t="str">
        <f>V52</f>
        <v/>
      </c>
      <c r="Y43" s="60" t="str">
        <f>IFERROR(W52+X52+IF($X$35=1,V43*$D$4,$D$6*$D$4),"")</f>
        <v/>
      </c>
      <c r="Z43" s="58" t="str">
        <f t="shared" si="1"/>
        <v/>
      </c>
      <c r="AA43" s="68" t="str">
        <f>IF(Z52&lt;&gt;0,Z52,"")</f>
        <v/>
      </c>
      <c r="AB43" s="71" t="str">
        <f>IFERROR(AD52,"")</f>
        <v/>
      </c>
      <c r="AC43" s="73" t="str">
        <f>IFERROR(AA52,"")</f>
        <v/>
      </c>
      <c r="AD43" s="61">
        <f>IFERROR(AC52,"")</f>
        <v>0</v>
      </c>
      <c r="AE43" s="48"/>
    </row>
    <row r="44" spans="2:38" ht="15" x14ac:dyDescent="0.25">
      <c r="B44" s="122"/>
      <c r="C44" s="122"/>
      <c r="D44" s="115"/>
      <c r="E44" s="123"/>
      <c r="G44" s="125"/>
      <c r="H44" s="144" t="s">
        <v>96</v>
      </c>
      <c r="I44" s="149"/>
      <c r="J44" s="163" t="s">
        <v>64</v>
      </c>
      <c r="K44" s="113" t="s">
        <v>144</v>
      </c>
      <c r="L44" s="113"/>
      <c r="M44" s="96" t="s">
        <v>22</v>
      </c>
      <c r="N44" s="127">
        <f>IFERROR(SUM(N42:N43)-(SQRT(2*N34*N35/(N40*(N29-N31)))),SUM(N42:N43))</f>
        <v>55336.764284845754</v>
      </c>
      <c r="O44" s="136"/>
      <c r="P44" s="157"/>
      <c r="T44" s="47"/>
      <c r="U44" s="43"/>
      <c r="AE44" s="48"/>
    </row>
    <row r="45" spans="2:38" ht="15.75" customHeight="1" thickBot="1" x14ac:dyDescent="0.25">
      <c r="B45" s="114"/>
      <c r="C45" s="114"/>
      <c r="D45" s="115"/>
      <c r="E45" s="114"/>
      <c r="G45" s="119"/>
      <c r="H45" s="150"/>
      <c r="I45" s="151"/>
      <c r="J45" s="149"/>
      <c r="K45" s="108"/>
      <c r="L45" s="108"/>
      <c r="M45" s="109"/>
      <c r="N45" s="108"/>
      <c r="O45" s="136"/>
      <c r="P45" s="157"/>
      <c r="T45" s="49"/>
      <c r="U45" s="185" t="str">
        <f>"RECOMENDACIÓN: Ordenar "&amp;_xlfn.XLOOKUP(MIN(AB39:AB43),AB39:AB43,AA39:AA43)&amp;" unidades, con un costo total mínimo de $ "&amp;MIN(AB39:AB43)</f>
        <v>RECOMENDACIÓN: Ordenar 100 unidades, con un costo total mínimo de $ 3360</v>
      </c>
      <c r="V45" s="185"/>
      <c r="W45" s="185"/>
      <c r="X45" s="185"/>
      <c r="Y45" s="185"/>
      <c r="Z45" s="185"/>
      <c r="AA45" s="185"/>
      <c r="AB45" s="185"/>
      <c r="AC45" s="185"/>
      <c r="AD45" s="185"/>
      <c r="AE45" s="50"/>
    </row>
    <row r="46" spans="2:38" x14ac:dyDescent="0.2">
      <c r="B46" s="114"/>
      <c r="C46" s="114"/>
      <c r="D46" s="115"/>
      <c r="E46" s="114"/>
      <c r="G46" s="119"/>
      <c r="H46" s="150"/>
      <c r="I46" s="151"/>
      <c r="J46" s="149"/>
      <c r="K46" s="106" t="s">
        <v>153</v>
      </c>
      <c r="L46" s="106"/>
      <c r="M46" s="107" t="s">
        <v>100</v>
      </c>
      <c r="N46" s="106">
        <f>+N33</f>
        <v>0.6</v>
      </c>
      <c r="O46" s="145">
        <f>N46</f>
        <v>0.6</v>
      </c>
      <c r="P46" s="157"/>
      <c r="AG46" s="41"/>
      <c r="AH46" s="41"/>
      <c r="AI46" s="104"/>
      <c r="AJ46" s="104"/>
      <c r="AK46" s="104"/>
    </row>
    <row r="47" spans="2:38" x14ac:dyDescent="0.2">
      <c r="B47" s="122"/>
      <c r="C47" s="114"/>
      <c r="D47" s="115"/>
      <c r="E47" s="124"/>
      <c r="F47" s="120"/>
      <c r="G47" s="114"/>
      <c r="H47" s="150"/>
      <c r="I47" s="151"/>
      <c r="J47" s="149"/>
      <c r="K47" s="146" t="s">
        <v>164</v>
      </c>
      <c r="L47" s="108"/>
      <c r="M47" s="109" t="s">
        <v>32</v>
      </c>
      <c r="N47" s="129">
        <f>NORMINV(N46,N35,N36)</f>
        <v>2076.0041309407397</v>
      </c>
      <c r="P47" s="157"/>
      <c r="T47" s="85" t="s">
        <v>129</v>
      </c>
      <c r="U47" s="86" t="s">
        <v>15</v>
      </c>
      <c r="V47" s="86" t="s">
        <v>32</v>
      </c>
      <c r="W47" s="86" t="s">
        <v>121</v>
      </c>
      <c r="X47" s="86" t="s">
        <v>123</v>
      </c>
      <c r="Y47" s="87" t="s">
        <v>124</v>
      </c>
      <c r="Z47" s="86" t="s">
        <v>125</v>
      </c>
      <c r="AA47" s="86" t="s">
        <v>121</v>
      </c>
      <c r="AB47" s="86" t="s">
        <v>122</v>
      </c>
      <c r="AC47" s="86" t="s">
        <v>123</v>
      </c>
      <c r="AD47" s="86" t="s">
        <v>127</v>
      </c>
      <c r="AE47" s="88"/>
      <c r="AG47" s="41"/>
      <c r="AH47" s="41"/>
      <c r="AI47" s="104"/>
      <c r="AJ47" s="104"/>
      <c r="AK47" s="104"/>
      <c r="AL47" s="104"/>
    </row>
    <row r="48" spans="2:38" x14ac:dyDescent="0.2">
      <c r="B48" s="114"/>
      <c r="C48" s="114"/>
      <c r="D48" s="115"/>
      <c r="E48" s="124"/>
      <c r="F48" s="114"/>
      <c r="G48" s="114"/>
      <c r="H48" s="150"/>
      <c r="I48" s="151"/>
      <c r="J48" s="149"/>
      <c r="K48" s="106" t="s">
        <v>154</v>
      </c>
      <c r="L48" s="106"/>
      <c r="M48" s="107" t="s">
        <v>156</v>
      </c>
      <c r="N48" s="143">
        <f>(N46)*(N30*N35-N29*N47+(N31*(N47-N35)))</f>
        <v>35543.97521435556</v>
      </c>
      <c r="P48" s="157"/>
      <c r="T48" s="85" t="s">
        <v>128</v>
      </c>
      <c r="U48" s="86">
        <f>D6</f>
        <v>20</v>
      </c>
      <c r="V48" s="89">
        <f>SQRT((2*$D$4*$D$5)/($D$7*U48))</f>
        <v>77.459666924148337</v>
      </c>
      <c r="W48" s="89">
        <f>$D$4*$D$5/V48</f>
        <v>232.37900077244501</v>
      </c>
      <c r="X48" s="89">
        <f>($D$7*U48*V48)/2</f>
        <v>232.37900077244501</v>
      </c>
      <c r="Y48" s="86" t="str">
        <f>IF(OR(V48&gt;AA31,V48&lt;AA31),"NO","SI")</f>
        <v>NO</v>
      </c>
      <c r="Z48" s="89">
        <f>MIN(AA31,(MAX(0,V48)))</f>
        <v>50</v>
      </c>
      <c r="AA48" s="89">
        <f>$D$4*$D$5/Z48</f>
        <v>360</v>
      </c>
      <c r="AB48" s="89">
        <f>U48*$D$4</f>
        <v>3600</v>
      </c>
      <c r="AC48" s="89">
        <f>IF($X$35=1,(Z48*$D$7*U48)/2,(Z48*$D$7*$D$6)/2)</f>
        <v>150</v>
      </c>
      <c r="AD48" s="89">
        <f>SUM(AA48:AC48)</f>
        <v>4110</v>
      </c>
      <c r="AE48" s="88"/>
      <c r="AG48" s="41"/>
      <c r="AH48" s="41"/>
      <c r="AI48" s="104"/>
      <c r="AJ48" s="104"/>
      <c r="AK48" s="104"/>
    </row>
    <row r="49" spans="2:37" x14ac:dyDescent="0.2">
      <c r="B49" s="114"/>
      <c r="C49" s="114"/>
      <c r="D49" s="115"/>
      <c r="E49" s="124"/>
      <c r="F49" s="114"/>
      <c r="G49" s="114"/>
      <c r="H49" s="152"/>
      <c r="I49" s="151"/>
      <c r="J49" s="149"/>
      <c r="K49" s="108" t="s">
        <v>155</v>
      </c>
      <c r="L49" s="108"/>
      <c r="M49" s="109" t="s">
        <v>157</v>
      </c>
      <c r="N49" s="141">
        <f>(1-N46)*(N30*N35-N29*N47+N32*(N35-N47))</f>
        <v>22783.933904948168</v>
      </c>
      <c r="P49" s="157"/>
      <c r="T49" s="85">
        <v>1</v>
      </c>
      <c r="U49" s="86">
        <f>$D$6-$D$6*($X$31/100)</f>
        <v>18</v>
      </c>
      <c r="V49" s="89">
        <f>IF(T49&lt;=$AA$30,SQRT((2*$D$4*$D$5)/($D$7*U49)),"")</f>
        <v>81.649658092772611</v>
      </c>
      <c r="W49" s="89">
        <f>$D$4*$D$5/V49</f>
        <v>220.45407685048602</v>
      </c>
      <c r="X49" s="89">
        <f>($D$7*U49*V49)/2</f>
        <v>220.45407685048602</v>
      </c>
      <c r="Y49" s="86" t="str">
        <f>IF(OR(V49&gt;AA31,V49&lt;AA32),"SI","NO")</f>
        <v>SI</v>
      </c>
      <c r="Z49" s="89">
        <f>MIN(AA32,(MAX(AA31,V49)))</f>
        <v>81.649658092772611</v>
      </c>
      <c r="AA49" s="89">
        <f t="shared" ref="AA49:AA52" si="2">$D$4*$D$5/Z49</f>
        <v>220.45407685048602</v>
      </c>
      <c r="AB49" s="89">
        <f>U49*$D$4</f>
        <v>3240</v>
      </c>
      <c r="AC49" s="89">
        <f>IF($X$35=1,(Z49*$D$7*U49)/2,(Z49*$D$7*$D$6)/2)</f>
        <v>244.94897427831785</v>
      </c>
      <c r="AD49" s="89">
        <f t="shared" ref="AD49:AD52" si="3">SUM(AA49:AC49)</f>
        <v>3705.4030511288042</v>
      </c>
      <c r="AE49" s="88"/>
      <c r="AG49" s="41"/>
      <c r="AH49" s="41"/>
      <c r="AI49" s="104"/>
      <c r="AJ49" s="104"/>
      <c r="AK49" s="104"/>
    </row>
    <row r="50" spans="2:37" x14ac:dyDescent="0.2">
      <c r="B50" s="122"/>
      <c r="C50" s="122"/>
      <c r="D50" s="115"/>
      <c r="E50" s="123"/>
      <c r="F50" s="114"/>
      <c r="G50" s="126"/>
      <c r="H50" s="150"/>
      <c r="I50" s="151"/>
      <c r="J50" s="149"/>
      <c r="K50" s="113" t="s">
        <v>145</v>
      </c>
      <c r="L50" s="113"/>
      <c r="M50" s="96" t="s">
        <v>158</v>
      </c>
      <c r="N50" s="127">
        <f>IFERROR(SUM(N48:N49)-(SQRT(2*N34*N35/((N46)*(N29-N31)))),SUM(N48:N49))</f>
        <v>57962.76074763362</v>
      </c>
      <c r="P50" s="157"/>
      <c r="T50" s="85">
        <v>2</v>
      </c>
      <c r="U50" s="86">
        <f>$D$6-$D$6*($X$32/100)</f>
        <v>16</v>
      </c>
      <c r="V50" s="89">
        <f>IF(T50&lt;=$AA$30,SQRT((2*$D$4*$D$5)/($D$7*U50)),"")</f>
        <v>86.602540378443862</v>
      </c>
      <c r="W50" s="89">
        <f>$D$4*$D$5/V50</f>
        <v>207.84609690826528</v>
      </c>
      <c r="X50" s="89">
        <f>($D$7*U50*V50)/2</f>
        <v>207.84609690826525</v>
      </c>
      <c r="Y50" s="86" t="str">
        <f>IF(AND(V50&gt;AA32,V50&lt;AA33),"SI","NO")</f>
        <v>NO</v>
      </c>
      <c r="Z50" s="89">
        <f>MIN(AA33,(MAX(AA32,V50)))</f>
        <v>100</v>
      </c>
      <c r="AA50" s="89">
        <f t="shared" si="2"/>
        <v>180</v>
      </c>
      <c r="AB50" s="89">
        <f t="shared" ref="AB50:AB52" si="4">U50*$D$4</f>
        <v>2880</v>
      </c>
      <c r="AC50" s="89">
        <f>IF($X$35=1,(Z50*$D$7*U50)/2,(Z50*$D$7*$D$6)/2)</f>
        <v>300</v>
      </c>
      <c r="AD50" s="89">
        <f t="shared" si="3"/>
        <v>3360</v>
      </c>
      <c r="AE50" s="88"/>
      <c r="AG50" s="41"/>
      <c r="AH50" s="41"/>
      <c r="AI50" s="104"/>
      <c r="AJ50" s="104"/>
      <c r="AK50" s="104"/>
    </row>
    <row r="51" spans="2:37" x14ac:dyDescent="0.2">
      <c r="H51" s="150"/>
      <c r="I51" s="151"/>
      <c r="J51" s="149"/>
      <c r="K51" s="1" t="s">
        <v>146</v>
      </c>
      <c r="L51" s="1"/>
      <c r="P51" s="157"/>
      <c r="T51" s="85">
        <v>3</v>
      </c>
      <c r="U51" s="86">
        <f>$D$6-$D$6*($X$33/100)</f>
        <v>20</v>
      </c>
      <c r="V51" s="89" t="str">
        <f>IF(T51&lt;=$AA$30,SQRT((2*$D$4*$D$5)/($D$7*U51)),"")</f>
        <v/>
      </c>
      <c r="W51" s="89" t="e">
        <f>$D$4*$D$5/V51</f>
        <v>#VALUE!</v>
      </c>
      <c r="X51" s="89" t="e">
        <f>($D$7*U51*V51)/2</f>
        <v>#VALUE!</v>
      </c>
      <c r="Y51" s="86" t="str">
        <f>IF(AND(V51&gt;AA33,V51&lt;AA34),"SI","NO")</f>
        <v>NO</v>
      </c>
      <c r="Z51" s="89">
        <f>MIN(AA34,(MAX(AA33,V51)))</f>
        <v>0</v>
      </c>
      <c r="AA51" s="89" t="e">
        <f t="shared" si="2"/>
        <v>#DIV/0!</v>
      </c>
      <c r="AB51" s="89">
        <f t="shared" si="4"/>
        <v>3600</v>
      </c>
      <c r="AC51" s="89">
        <f>IF($X$35=1,(Z51*$D$7*U51)/2,(Z51*$D$7*$D$6)/2)</f>
        <v>0</v>
      </c>
      <c r="AD51" s="89" t="e">
        <f t="shared" si="3"/>
        <v>#DIV/0!</v>
      </c>
      <c r="AE51" s="88"/>
    </row>
    <row r="52" spans="2:37" ht="13.5" thickBot="1" x14ac:dyDescent="0.25">
      <c r="H52" s="153"/>
      <c r="I52" s="154"/>
      <c r="J52" s="155"/>
      <c r="K52" s="158" t="str">
        <f>IF(OR(N50&lt;0,N44&lt;0),"ATENCION: Lucro pronosticado no cubre costos de organización","")</f>
        <v/>
      </c>
      <c r="L52" s="154"/>
      <c r="M52" s="155"/>
      <c r="N52" s="155"/>
      <c r="O52" s="155"/>
      <c r="P52" s="156"/>
      <c r="T52" s="85">
        <v>4</v>
      </c>
      <c r="U52" s="86">
        <f>$D$6-$D$6*($X$34/100)</f>
        <v>20</v>
      </c>
      <c r="V52" s="89" t="str">
        <f>IF(T52&lt;=$AA$30,SQRT((2*$D$4*$D$5)/($D$7*U52)),"")</f>
        <v/>
      </c>
      <c r="W52" s="89" t="e">
        <f>$D$4*$D$5/V52</f>
        <v>#VALUE!</v>
      </c>
      <c r="X52" s="89" t="e">
        <f>($D$7*U52*V52)/2</f>
        <v>#VALUE!</v>
      </c>
      <c r="Y52" s="86" t="str">
        <f>IF(AND(V52&gt;AA34,V52&lt;AA35),"SI","NO")</f>
        <v>NO</v>
      </c>
      <c r="Z52" s="89">
        <f>MIN(AA35,(MAX(AA34,V52)))</f>
        <v>0</v>
      </c>
      <c r="AA52" s="89" t="e">
        <f t="shared" si="2"/>
        <v>#DIV/0!</v>
      </c>
      <c r="AB52" s="89">
        <f t="shared" si="4"/>
        <v>3600</v>
      </c>
      <c r="AC52" s="89">
        <f>IF($X$35=1,(Z52*$D$7*U52)/2,(Z52*$D$7*$D$6)/2)</f>
        <v>0</v>
      </c>
      <c r="AD52" s="89" t="e">
        <f t="shared" si="3"/>
        <v>#DIV/0!</v>
      </c>
      <c r="AE52" s="88"/>
    </row>
    <row r="53" spans="2:37" x14ac:dyDescent="0.2">
      <c r="U53" s="17"/>
      <c r="V53" s="41"/>
      <c r="W53" s="17"/>
      <c r="X53" s="41"/>
      <c r="AB53" s="41"/>
    </row>
    <row r="54" spans="2:37" x14ac:dyDescent="0.2">
      <c r="U54" s="17"/>
      <c r="V54" s="41"/>
      <c r="W54" s="17"/>
      <c r="X54" s="41"/>
      <c r="AB54" s="41"/>
    </row>
    <row r="55" spans="2:37" x14ac:dyDescent="0.2">
      <c r="U55" s="17"/>
      <c r="V55" s="41"/>
      <c r="W55" s="17"/>
      <c r="X55" s="41"/>
      <c r="AB55" s="41"/>
    </row>
    <row r="56" spans="2:37" x14ac:dyDescent="0.2">
      <c r="U56" s="17"/>
      <c r="V56" s="41"/>
      <c r="W56" s="17"/>
      <c r="X56" s="41"/>
      <c r="AB56" s="41"/>
    </row>
    <row r="57" spans="2:37" x14ac:dyDescent="0.2">
      <c r="U57" s="17"/>
      <c r="V57" s="41"/>
      <c r="W57" s="17"/>
      <c r="X57" s="41"/>
      <c r="AB57" s="41"/>
    </row>
    <row r="67" spans="2:13" ht="21" customHeight="1" x14ac:dyDescent="0.35">
      <c r="B67" s="196" t="s">
        <v>177</v>
      </c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</row>
    <row r="68" spans="2:13" x14ac:dyDescent="0.2">
      <c r="B68" s="197" t="s">
        <v>217</v>
      </c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</row>
    <row r="69" spans="2:13" x14ac:dyDescent="0.2">
      <c r="B69" s="229" t="s">
        <v>192</v>
      </c>
      <c r="C69" s="230"/>
      <c r="D69" s="230"/>
      <c r="E69" s="230"/>
      <c r="F69" s="230"/>
      <c r="G69" s="236"/>
      <c r="H69" s="21"/>
      <c r="I69" s="19"/>
      <c r="J69" s="19"/>
      <c r="K69" s="21"/>
      <c r="L69" s="19"/>
      <c r="M69" s="22"/>
    </row>
    <row r="70" spans="2:13" x14ac:dyDescent="0.2">
      <c r="B70" s="24"/>
      <c r="C70" s="1" t="s">
        <v>67</v>
      </c>
      <c r="G70" s="8"/>
      <c r="H70" s="5"/>
      <c r="I70" s="1"/>
      <c r="K70" s="5"/>
      <c r="M70" s="35"/>
    </row>
    <row r="71" spans="2:13" x14ac:dyDescent="0.2">
      <c r="B71" s="24"/>
      <c r="D71" s="214" t="s">
        <v>65</v>
      </c>
      <c r="G71" s="8"/>
      <c r="H71" s="5"/>
      <c r="I71" s="1"/>
      <c r="K71" s="5"/>
      <c r="M71" s="36"/>
    </row>
    <row r="72" spans="2:13" x14ac:dyDescent="0.2">
      <c r="B72" s="24"/>
      <c r="D72" s="214" t="s">
        <v>66</v>
      </c>
      <c r="G72" s="8"/>
      <c r="H72" s="5"/>
      <c r="I72" s="1"/>
      <c r="K72" s="5"/>
      <c r="M72" s="36"/>
    </row>
    <row r="73" spans="2:13" x14ac:dyDescent="0.2">
      <c r="B73" s="24"/>
      <c r="D73" s="214" t="s">
        <v>165</v>
      </c>
      <c r="G73" s="8"/>
      <c r="H73" s="5"/>
      <c r="I73" s="1"/>
      <c r="K73" s="5"/>
      <c r="M73" s="36"/>
    </row>
    <row r="74" spans="2:13" x14ac:dyDescent="0.2">
      <c r="B74" s="24"/>
      <c r="C74" s="1" t="s">
        <v>68</v>
      </c>
      <c r="G74" s="8"/>
      <c r="H74" s="5"/>
      <c r="I74" s="1"/>
      <c r="K74" s="5"/>
      <c r="M74" s="37"/>
    </row>
    <row r="75" spans="2:13" x14ac:dyDescent="0.2">
      <c r="B75" s="24"/>
      <c r="D75" s="214" t="s">
        <v>69</v>
      </c>
      <c r="G75" s="8"/>
      <c r="H75" s="5"/>
      <c r="I75" s="1"/>
      <c r="K75" s="5"/>
      <c r="L75" s="1"/>
      <c r="M75" s="23"/>
    </row>
    <row r="76" spans="2:13" x14ac:dyDescent="0.2">
      <c r="B76" s="24"/>
      <c r="D76" s="214" t="s">
        <v>70</v>
      </c>
      <c r="G76" s="8"/>
      <c r="H76" s="5"/>
      <c r="I76" s="1"/>
      <c r="K76" s="5"/>
      <c r="L76" s="1"/>
      <c r="M76" s="23"/>
    </row>
    <row r="77" spans="2:13" x14ac:dyDescent="0.2">
      <c r="B77" s="24"/>
      <c r="C77" s="1" t="s">
        <v>71</v>
      </c>
      <c r="G77" s="8"/>
      <c r="H77" s="5"/>
      <c r="I77" s="1"/>
      <c r="K77" s="5"/>
      <c r="L77" s="1"/>
      <c r="M77" s="23"/>
    </row>
    <row r="78" spans="2:13" x14ac:dyDescent="0.2">
      <c r="B78" s="24"/>
      <c r="C78" s="1" t="s">
        <v>185</v>
      </c>
      <c r="G78" s="8"/>
      <c r="H78" s="5"/>
      <c r="I78" s="1"/>
      <c r="K78" s="5"/>
      <c r="L78" s="1"/>
      <c r="M78" s="23"/>
    </row>
    <row r="79" spans="2:13" x14ac:dyDescent="0.2">
      <c r="B79" s="24"/>
      <c r="D79" s="1" t="s">
        <v>184</v>
      </c>
      <c r="G79" s="8"/>
      <c r="H79" s="5"/>
      <c r="I79" s="1"/>
      <c r="K79" s="5"/>
      <c r="L79" s="1"/>
      <c r="M79" s="23"/>
    </row>
    <row r="80" spans="2:13" x14ac:dyDescent="0.2">
      <c r="B80" s="229" t="s">
        <v>193</v>
      </c>
      <c r="C80" s="230"/>
      <c r="D80" s="230"/>
      <c r="E80" s="230"/>
      <c r="F80" s="230"/>
      <c r="G80" s="230"/>
      <c r="H80" s="20"/>
      <c r="I80" s="21"/>
      <c r="J80" s="19"/>
      <c r="K80" s="19"/>
      <c r="L80" s="21"/>
      <c r="M80" s="22"/>
    </row>
    <row r="81" spans="2:13" x14ac:dyDescent="0.2">
      <c r="B81" s="201" t="s">
        <v>95</v>
      </c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3"/>
    </row>
    <row r="82" spans="2:13" x14ac:dyDescent="0.2">
      <c r="B82" s="204" t="s">
        <v>94</v>
      </c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5"/>
    </row>
    <row r="83" spans="2:13" x14ac:dyDescent="0.2">
      <c r="B83" s="204" t="s">
        <v>215</v>
      </c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5"/>
    </row>
    <row r="84" spans="2:13" x14ac:dyDescent="0.2">
      <c r="B84" s="204" t="s">
        <v>216</v>
      </c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5"/>
    </row>
    <row r="85" spans="2:13" x14ac:dyDescent="0.2">
      <c r="B85" s="24"/>
      <c r="M85" s="23"/>
    </row>
    <row r="86" spans="2:13" x14ac:dyDescent="0.2">
      <c r="B86" s="240" t="s">
        <v>90</v>
      </c>
      <c r="C86" s="241"/>
      <c r="D86" s="241"/>
      <c r="E86" s="241"/>
      <c r="F86" s="241"/>
      <c r="G86" s="241"/>
      <c r="H86" s="241"/>
      <c r="I86" s="241"/>
      <c r="J86" s="241"/>
      <c r="K86" s="241"/>
      <c r="L86" s="237"/>
      <c r="M86" s="242"/>
    </row>
    <row r="87" spans="2:13" x14ac:dyDescent="0.2">
      <c r="B87" s="24"/>
      <c r="C87" s="264" t="s">
        <v>79</v>
      </c>
      <c r="D87" s="264"/>
      <c r="E87" s="264"/>
      <c r="F87" s="264"/>
      <c r="G87" s="264"/>
      <c r="H87" s="264"/>
      <c r="I87" s="264"/>
      <c r="J87" s="264"/>
      <c r="K87" s="264"/>
      <c r="L87" s="264"/>
      <c r="M87" s="265"/>
    </row>
    <row r="88" spans="2:13" ht="15" x14ac:dyDescent="0.25">
      <c r="B88" s="233" t="s">
        <v>65</v>
      </c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164" t="s">
        <v>96</v>
      </c>
    </row>
    <row r="89" spans="2:13" x14ac:dyDescent="0.2">
      <c r="B89" s="24"/>
      <c r="C89" s="1" t="s">
        <v>80</v>
      </c>
      <c r="H89" s="1"/>
      <c r="I89" s="1"/>
      <c r="L89" s="1"/>
      <c r="M89" s="23"/>
    </row>
    <row r="90" spans="2:13" ht="15" customHeight="1" x14ac:dyDescent="0.2">
      <c r="B90" s="24"/>
      <c r="C90" s="192" t="s">
        <v>72</v>
      </c>
      <c r="D90" s="192"/>
      <c r="E90" s="192"/>
      <c r="F90" s="192"/>
      <c r="G90" s="192"/>
      <c r="H90" s="192"/>
      <c r="I90" s="192"/>
      <c r="J90" s="192"/>
      <c r="K90" s="192"/>
      <c r="L90" s="1"/>
      <c r="M90" s="23"/>
    </row>
    <row r="91" spans="2:13" x14ac:dyDescent="0.2">
      <c r="B91" s="233" t="s">
        <v>66</v>
      </c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43"/>
    </row>
    <row r="92" spans="2:13" x14ac:dyDescent="0.2">
      <c r="B92" s="24"/>
      <c r="C92" s="192" t="s">
        <v>81</v>
      </c>
      <c r="D92" s="192"/>
      <c r="E92" s="192"/>
      <c r="F92" s="192"/>
      <c r="G92" s="192"/>
      <c r="H92" s="192"/>
      <c r="I92" s="192"/>
      <c r="J92" s="192"/>
      <c r="K92" s="192"/>
      <c r="L92" s="192"/>
      <c r="M92" s="195"/>
    </row>
    <row r="93" spans="2:13" x14ac:dyDescent="0.2">
      <c r="B93" s="24"/>
      <c r="C93" s="192" t="s">
        <v>82</v>
      </c>
      <c r="D93" s="192"/>
      <c r="E93" s="192"/>
      <c r="F93" s="192"/>
      <c r="G93" s="192"/>
      <c r="H93" s="192"/>
      <c r="I93" s="192"/>
      <c r="J93" s="192"/>
      <c r="K93" s="192"/>
      <c r="L93" s="192"/>
      <c r="M93" s="195"/>
    </row>
    <row r="94" spans="2:13" x14ac:dyDescent="0.2">
      <c r="B94" s="231"/>
      <c r="C94" s="14"/>
      <c r="D94" s="14"/>
      <c r="E94" s="232" t="s">
        <v>165</v>
      </c>
      <c r="F94" s="235"/>
      <c r="G94" s="235"/>
      <c r="H94" s="235"/>
      <c r="I94" s="235"/>
      <c r="J94" s="235"/>
      <c r="K94" s="235"/>
      <c r="L94" s="28"/>
      <c r="M94" s="29"/>
    </row>
    <row r="95" spans="2:13" x14ac:dyDescent="0.2">
      <c r="B95" s="24"/>
      <c r="C95" s="28" t="s">
        <v>190</v>
      </c>
      <c r="D95" s="28"/>
      <c r="E95" s="28"/>
      <c r="F95" s="28"/>
      <c r="G95" s="28"/>
      <c r="H95" s="28"/>
      <c r="I95" s="28"/>
      <c r="J95" s="28"/>
      <c r="K95" s="28"/>
      <c r="L95" s="28"/>
      <c r="M95" s="29"/>
    </row>
    <row r="96" spans="2:13" x14ac:dyDescent="0.2">
      <c r="B96" s="24"/>
      <c r="C96" s="28" t="s">
        <v>191</v>
      </c>
      <c r="D96" s="28"/>
      <c r="E96" s="28"/>
      <c r="F96" s="28"/>
      <c r="G96" s="28"/>
      <c r="H96" s="28"/>
      <c r="I96" s="28"/>
      <c r="J96" s="28"/>
      <c r="K96" s="28"/>
      <c r="L96" s="28"/>
      <c r="M96" s="29"/>
    </row>
    <row r="97" spans="2:13" x14ac:dyDescent="0.2">
      <c r="B97" s="24"/>
      <c r="C97" s="28" t="s">
        <v>199</v>
      </c>
      <c r="D97" s="28"/>
      <c r="E97" s="28"/>
      <c r="F97" s="28"/>
      <c r="G97" s="28"/>
      <c r="H97" s="28"/>
      <c r="I97" s="28"/>
      <c r="J97" s="28"/>
      <c r="K97" s="28"/>
      <c r="L97" s="28"/>
      <c r="M97" s="29"/>
    </row>
    <row r="98" spans="2:13" x14ac:dyDescent="0.2">
      <c r="B98" s="229" t="s">
        <v>91</v>
      </c>
      <c r="C98" s="230"/>
      <c r="D98" s="230"/>
      <c r="E98" s="230"/>
      <c r="F98" s="230"/>
      <c r="G98" s="230"/>
      <c r="H98" s="236"/>
      <c r="I98" s="237"/>
      <c r="J98" s="230"/>
      <c r="K98" s="230"/>
      <c r="L98" s="21"/>
      <c r="M98" s="22"/>
    </row>
    <row r="99" spans="2:13" x14ac:dyDescent="0.2">
      <c r="B99" s="24"/>
      <c r="C99" s="192" t="s">
        <v>186</v>
      </c>
      <c r="D99" s="192"/>
      <c r="E99" s="192"/>
      <c r="F99" s="192"/>
      <c r="G99" s="192"/>
      <c r="H99" s="192"/>
      <c r="I99" s="192"/>
      <c r="J99" s="192"/>
      <c r="K99" s="192"/>
      <c r="L99" s="192"/>
      <c r="M99" s="195"/>
    </row>
    <row r="100" spans="2:13" x14ac:dyDescent="0.2">
      <c r="B100" s="24"/>
      <c r="C100" s="28" t="s">
        <v>187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9"/>
    </row>
    <row r="101" spans="2:13" x14ac:dyDescent="0.2">
      <c r="B101" s="97"/>
      <c r="C101" s="98" t="s">
        <v>166</v>
      </c>
      <c r="D101" s="43"/>
      <c r="E101" s="28"/>
      <c r="F101" s="28"/>
      <c r="G101" s="28"/>
      <c r="H101" s="28"/>
      <c r="I101" s="28"/>
      <c r="J101" s="28"/>
      <c r="K101" s="28"/>
      <c r="L101" s="28"/>
      <c r="M101" s="29"/>
    </row>
    <row r="102" spans="2:13" x14ac:dyDescent="0.2">
      <c r="B102" s="24"/>
      <c r="C102" s="28" t="s">
        <v>188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9"/>
    </row>
    <row r="103" spans="2:13" x14ac:dyDescent="0.2">
      <c r="B103" s="24"/>
      <c r="C103" s="28" t="s">
        <v>189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9"/>
    </row>
    <row r="104" spans="2:13" x14ac:dyDescent="0.2">
      <c r="B104" s="229" t="s">
        <v>92</v>
      </c>
      <c r="C104" s="230"/>
      <c r="D104" s="230"/>
      <c r="E104" s="230"/>
      <c r="F104" s="230"/>
      <c r="G104" s="230"/>
      <c r="H104" s="236"/>
      <c r="I104" s="237"/>
      <c r="J104" s="230"/>
      <c r="K104" s="230"/>
      <c r="L104" s="21"/>
      <c r="M104" s="22"/>
    </row>
    <row r="105" spans="2:13" x14ac:dyDescent="0.2">
      <c r="B105" s="24"/>
      <c r="C105" s="192" t="s">
        <v>83</v>
      </c>
      <c r="D105" s="192"/>
      <c r="E105" s="192"/>
      <c r="F105" s="192"/>
      <c r="G105" s="192"/>
      <c r="H105" s="192"/>
      <c r="I105" s="192"/>
      <c r="J105" s="192"/>
      <c r="K105" s="192"/>
      <c r="L105" s="192"/>
      <c r="M105" s="195"/>
    </row>
    <row r="106" spans="2:13" x14ac:dyDescent="0.2">
      <c r="B106" s="24"/>
      <c r="C106" s="192" t="s">
        <v>84</v>
      </c>
      <c r="D106" s="192"/>
      <c r="E106" s="192"/>
      <c r="F106" s="192"/>
      <c r="G106" s="192"/>
      <c r="H106" s="192"/>
      <c r="I106" s="192"/>
      <c r="J106" s="192"/>
      <c r="K106" s="192"/>
      <c r="L106" s="192"/>
      <c r="M106" s="195"/>
    </row>
    <row r="107" spans="2:13" ht="13.5" thickBot="1" x14ac:dyDescent="0.25">
      <c r="B107" s="24"/>
      <c r="C107" s="193" t="s">
        <v>73</v>
      </c>
      <c r="D107" s="193"/>
      <c r="E107" s="193"/>
      <c r="F107" s="193"/>
      <c r="G107" s="193"/>
      <c r="H107" s="193"/>
      <c r="I107" s="193"/>
      <c r="J107" s="193"/>
      <c r="K107" s="193"/>
      <c r="L107" s="193"/>
      <c r="M107" s="194"/>
    </row>
    <row r="108" spans="2:13" ht="13.5" thickBot="1" x14ac:dyDescent="0.25">
      <c r="B108" s="24"/>
      <c r="C108" s="30" t="s">
        <v>93</v>
      </c>
      <c r="D108" s="31"/>
      <c r="E108" s="31"/>
      <c r="F108" s="31"/>
      <c r="G108" s="31"/>
      <c r="H108" s="32"/>
      <c r="I108" s="33"/>
      <c r="J108" s="31"/>
      <c r="K108" s="31"/>
      <c r="L108" s="33"/>
      <c r="M108" s="34"/>
    </row>
    <row r="109" spans="2:13" x14ac:dyDescent="0.2">
      <c r="B109" s="24"/>
      <c r="M109" s="38"/>
    </row>
    <row r="110" spans="2:13" ht="15" x14ac:dyDescent="0.25">
      <c r="B110" s="229" t="s">
        <v>194</v>
      </c>
      <c r="C110" s="230"/>
      <c r="D110" s="230"/>
      <c r="E110" s="230"/>
      <c r="F110" s="230"/>
      <c r="G110" s="230"/>
      <c r="H110" s="236"/>
      <c r="I110" s="237"/>
      <c r="J110" s="230"/>
      <c r="K110" s="230"/>
      <c r="L110" s="237"/>
      <c r="M110" s="164" t="s">
        <v>96</v>
      </c>
    </row>
    <row r="111" spans="2:13" x14ac:dyDescent="0.2">
      <c r="B111" s="24" t="s">
        <v>210</v>
      </c>
      <c r="M111" s="39"/>
    </row>
    <row r="112" spans="2:13" x14ac:dyDescent="0.2">
      <c r="B112" s="24" t="s">
        <v>211</v>
      </c>
    </row>
    <row r="113" spans="2:7" x14ac:dyDescent="0.2">
      <c r="B113" s="24"/>
    </row>
    <row r="114" spans="2:7" x14ac:dyDescent="0.2">
      <c r="B114" s="24" t="s">
        <v>212</v>
      </c>
    </row>
    <row r="115" spans="2:7" x14ac:dyDescent="0.2">
      <c r="B115" s="24" t="s">
        <v>74</v>
      </c>
    </row>
    <row r="116" spans="2:7" x14ac:dyDescent="0.2">
      <c r="B116" s="24" t="s">
        <v>213</v>
      </c>
    </row>
    <row r="117" spans="2:7" x14ac:dyDescent="0.2">
      <c r="B117" s="24" t="s">
        <v>214</v>
      </c>
    </row>
    <row r="118" spans="2:7" x14ac:dyDescent="0.2">
      <c r="B118" s="24" t="s">
        <v>75</v>
      </c>
    </row>
    <row r="119" spans="2:7" x14ac:dyDescent="0.2">
      <c r="B119" s="24" t="s">
        <v>76</v>
      </c>
    </row>
    <row r="120" spans="2:7" x14ac:dyDescent="0.2">
      <c r="B120" s="24"/>
    </row>
    <row r="121" spans="2:7" x14ac:dyDescent="0.2">
      <c r="B121" s="24"/>
    </row>
    <row r="122" spans="2:7" x14ac:dyDescent="0.2">
      <c r="B122" s="24" t="s">
        <v>77</v>
      </c>
    </row>
    <row r="123" spans="2:7" x14ac:dyDescent="0.2">
      <c r="B123" s="24" t="s">
        <v>78</v>
      </c>
    </row>
    <row r="124" spans="2:7" x14ac:dyDescent="0.2">
      <c r="B124" s="24"/>
    </row>
    <row r="125" spans="2:7" x14ac:dyDescent="0.2">
      <c r="B125" s="24"/>
    </row>
    <row r="126" spans="2:7" x14ac:dyDescent="0.2">
      <c r="B126" s="24"/>
    </row>
    <row r="127" spans="2:7" x14ac:dyDescent="0.2">
      <c r="B127" s="229" t="s">
        <v>200</v>
      </c>
      <c r="C127" s="230"/>
      <c r="D127" s="230"/>
      <c r="E127" s="230"/>
      <c r="F127" s="230"/>
      <c r="G127" s="230"/>
    </row>
    <row r="128" spans="2:7" x14ac:dyDescent="0.2">
      <c r="B128" s="24" t="s">
        <v>196</v>
      </c>
    </row>
    <row r="129" spans="2:2" x14ac:dyDescent="0.2">
      <c r="B129" s="97" t="s">
        <v>197</v>
      </c>
    </row>
    <row r="130" spans="2:2" x14ac:dyDescent="0.2">
      <c r="B130" s="97" t="s">
        <v>198</v>
      </c>
    </row>
    <row r="131" spans="2:2" x14ac:dyDescent="0.2">
      <c r="B131" s="24"/>
    </row>
    <row r="132" spans="2:2" x14ac:dyDescent="0.2">
      <c r="B132" s="24"/>
    </row>
    <row r="133" spans="2:2" x14ac:dyDescent="0.2">
      <c r="B133" s="24"/>
    </row>
    <row r="134" spans="2:2" x14ac:dyDescent="0.2">
      <c r="B134" s="24"/>
    </row>
    <row r="135" spans="2:2" x14ac:dyDescent="0.2">
      <c r="B135" s="24"/>
    </row>
    <row r="136" spans="2:2" x14ac:dyDescent="0.2">
      <c r="B136" s="24"/>
    </row>
    <row r="137" spans="2:2" x14ac:dyDescent="0.2">
      <c r="B137" s="24"/>
    </row>
    <row r="138" spans="2:2" x14ac:dyDescent="0.2">
      <c r="B138" s="24"/>
    </row>
    <row r="139" spans="2:2" x14ac:dyDescent="0.2">
      <c r="B139" s="24"/>
    </row>
    <row r="140" spans="2:2" x14ac:dyDescent="0.2">
      <c r="B140" s="24"/>
    </row>
    <row r="141" spans="2:2" x14ac:dyDescent="0.2">
      <c r="B141" s="24"/>
    </row>
    <row r="142" spans="2:2" x14ac:dyDescent="0.2">
      <c r="B142" s="24"/>
    </row>
    <row r="143" spans="2:2" x14ac:dyDescent="0.2">
      <c r="B143" s="24"/>
    </row>
    <row r="144" spans="2:2" x14ac:dyDescent="0.2">
      <c r="B144" s="24"/>
    </row>
    <row r="145" spans="2:13" x14ac:dyDescent="0.2">
      <c r="B145" s="24"/>
    </row>
    <row r="146" spans="2:13" x14ac:dyDescent="0.2">
      <c r="B146" s="24"/>
      <c r="M146" s="213"/>
    </row>
    <row r="147" spans="2:13" ht="13.5" thickBot="1" x14ac:dyDescent="0.25">
      <c r="B147" s="247"/>
      <c r="C147" s="217"/>
      <c r="M147" s="213"/>
    </row>
    <row r="148" spans="2:13" x14ac:dyDescent="0.2">
      <c r="B148" s="227" t="s">
        <v>195</v>
      </c>
      <c r="C148" s="14"/>
      <c r="D148" s="228"/>
      <c r="E148" s="228"/>
      <c r="F148" s="228"/>
      <c r="G148" s="228"/>
      <c r="H148" s="238"/>
      <c r="I148" s="239"/>
      <c r="J148" s="159"/>
      <c r="K148" s="159"/>
      <c r="L148" s="160"/>
    </row>
    <row r="149" spans="2:13" x14ac:dyDescent="0.2">
      <c r="B149" s="161" t="s">
        <v>209</v>
      </c>
      <c r="L149" s="56"/>
    </row>
    <row r="150" spans="2:13" x14ac:dyDescent="0.2">
      <c r="B150" s="161" t="s">
        <v>201</v>
      </c>
      <c r="L150" s="56"/>
    </row>
    <row r="151" spans="2:13" x14ac:dyDescent="0.2">
      <c r="B151" s="161" t="s">
        <v>206</v>
      </c>
      <c r="L151" s="56"/>
    </row>
    <row r="152" spans="2:13" x14ac:dyDescent="0.2">
      <c r="B152" s="161" t="s">
        <v>202</v>
      </c>
      <c r="L152" s="56"/>
    </row>
    <row r="153" spans="2:13" x14ac:dyDescent="0.2">
      <c r="B153" s="161" t="s">
        <v>207</v>
      </c>
      <c r="L153" s="56"/>
    </row>
    <row r="154" spans="2:13" x14ac:dyDescent="0.2">
      <c r="B154" s="161" t="s">
        <v>203</v>
      </c>
      <c r="L154" s="56"/>
    </row>
    <row r="155" spans="2:13" x14ac:dyDescent="0.2">
      <c r="B155" s="161" t="s">
        <v>204</v>
      </c>
      <c r="L155" s="56"/>
    </row>
    <row r="156" spans="2:13" x14ac:dyDescent="0.2">
      <c r="B156" s="161" t="s">
        <v>205</v>
      </c>
      <c r="L156" s="56"/>
    </row>
    <row r="157" spans="2:13" x14ac:dyDescent="0.2">
      <c r="B157" s="161" t="s">
        <v>208</v>
      </c>
      <c r="L157" s="56"/>
    </row>
    <row r="158" spans="2:13" x14ac:dyDescent="0.2">
      <c r="B158" s="161"/>
      <c r="L158" s="56"/>
    </row>
    <row r="159" spans="2:13" x14ac:dyDescent="0.2">
      <c r="B159" s="161"/>
      <c r="L159" s="56"/>
    </row>
    <row r="160" spans="2:13" ht="13.5" thickBot="1" x14ac:dyDescent="0.25">
      <c r="B160" s="161"/>
      <c r="L160" s="56"/>
    </row>
    <row r="161" spans="2:12" ht="15" x14ac:dyDescent="0.25">
      <c r="B161" s="183" t="s">
        <v>173</v>
      </c>
      <c r="C161" s="184"/>
      <c r="D161" s="184"/>
      <c r="E161" s="184"/>
      <c r="F161" s="218" t="s">
        <v>181</v>
      </c>
      <c r="G161" s="219"/>
      <c r="H161" s="220"/>
      <c r="I161" s="1"/>
      <c r="L161" s="56"/>
    </row>
    <row r="162" spans="2:12" x14ac:dyDescent="0.2">
      <c r="B162" s="161"/>
      <c r="F162" s="221" t="s">
        <v>85</v>
      </c>
      <c r="G162" s="222"/>
      <c r="H162" s="223"/>
      <c r="I162" s="1"/>
      <c r="L162" s="56"/>
    </row>
    <row r="163" spans="2:12" ht="15" x14ac:dyDescent="0.25">
      <c r="B163" s="183" t="s">
        <v>174</v>
      </c>
      <c r="C163" s="184"/>
      <c r="D163" s="184"/>
      <c r="E163" s="184"/>
      <c r="F163" s="221" t="s">
        <v>182</v>
      </c>
      <c r="G163" s="222"/>
      <c r="H163" s="223"/>
      <c r="I163" s="1"/>
      <c r="L163" s="56"/>
    </row>
    <row r="164" spans="2:12" x14ac:dyDescent="0.2">
      <c r="B164" s="161"/>
      <c r="F164" s="221" t="s">
        <v>180</v>
      </c>
      <c r="G164" s="222"/>
      <c r="H164" s="223"/>
      <c r="I164" s="1"/>
      <c r="L164" s="56"/>
    </row>
    <row r="165" spans="2:12" ht="13.5" thickBot="1" x14ac:dyDescent="0.25">
      <c r="B165" s="162" t="s">
        <v>219</v>
      </c>
      <c r="C165" s="147"/>
      <c r="D165" s="147"/>
      <c r="E165" s="147"/>
      <c r="F165" s="224" t="s">
        <v>179</v>
      </c>
      <c r="G165" s="225"/>
      <c r="H165" s="226"/>
      <c r="I165" s="246"/>
      <c r="J165" s="217"/>
      <c r="K165" s="147"/>
      <c r="L165" s="61"/>
    </row>
  </sheetData>
  <sheetProtection algorithmName="SHA-512" hashValue="X0GrSm27ZtzVb0F3LUqoIp7kx81FQb1zLH4Y67fMhY3/NTKb+SDPQc7zN14Jz6Jmk8+FxXem9BQJ317ujbaFAg==" saltValue="1uQagQ0tmXvFdsV4+/2p2A==" spinCount="100000" sheet="1" objects="1" scenarios="1"/>
  <mergeCells count="30">
    <mergeCell ref="G18:L18"/>
    <mergeCell ref="G19:L19"/>
    <mergeCell ref="B24:E24"/>
    <mergeCell ref="G2:L2"/>
    <mergeCell ref="J21:K21"/>
    <mergeCell ref="J23:K23"/>
    <mergeCell ref="B82:M82"/>
    <mergeCell ref="C99:M99"/>
    <mergeCell ref="C105:M105"/>
    <mergeCell ref="C93:M93"/>
    <mergeCell ref="C92:M92"/>
    <mergeCell ref="C91:L91"/>
    <mergeCell ref="C88:L88"/>
    <mergeCell ref="B86:K86"/>
    <mergeCell ref="B161:E161"/>
    <mergeCell ref="B163:E163"/>
    <mergeCell ref="U45:AD45"/>
    <mergeCell ref="H27:P27"/>
    <mergeCell ref="H28:P28"/>
    <mergeCell ref="C90:K90"/>
    <mergeCell ref="C107:M107"/>
    <mergeCell ref="C87:M87"/>
    <mergeCell ref="B67:M67"/>
    <mergeCell ref="B68:M68"/>
    <mergeCell ref="T27:AE27"/>
    <mergeCell ref="T28:AE28"/>
    <mergeCell ref="C106:M106"/>
    <mergeCell ref="B81:M81"/>
    <mergeCell ref="B83:M83"/>
    <mergeCell ref="B84:M84"/>
  </mergeCells>
  <phoneticPr fontId="12" type="noConversion"/>
  <conditionalFormatting sqref="AB39:AB43">
    <cfRule type="top10" dxfId="0" priority="2" bottom="1" rank="1"/>
  </conditionalFormatting>
  <dataValidations disablePrompts="1" count="5">
    <dataValidation allowBlank="1" showInputMessage="1" showErrorMessage="1" prompt="Si usas modelos DETERMINISTICOS esta celda debe quedar en blanco." sqref="D16" xr:uid="{748D138C-E021-4C66-9B62-565CCD5D60BD}"/>
    <dataValidation allowBlank="1" showInputMessage="1" showErrorMessage="1" prompt="Si usas modelos DETERMINISTICOS esta celda debe tener valor 0,5" sqref="D10" xr:uid="{F2FED45E-77CA-4D7E-92B7-D9EC9BA5716E}"/>
    <dataValidation allowBlank="1" showInputMessage="1" showErrorMessage="1" prompt="Si no se usa modelo de producción se asume tasa de producción infinito. En ese caso acá debe ir &quot;m&quot;, &quot;M&quot; o quedar en blanco." sqref="D9" xr:uid="{F858B794-D6EC-42E3-A938-ED002DF8CA5F}"/>
    <dataValidation allowBlank="1" showInputMessage="1" showErrorMessage="1" prompt="Esta celda puede completarse aunque no se trate de modelos con revisión periódica." sqref="D18" xr:uid="{75E7B99E-3F3C-4732-894D-7CDA5976E08C}"/>
    <dataValidation allowBlank="1" showInputMessage="1" showErrorMessage="1" prompt="Si usas modelos determinísticos, dejar en blanco" sqref="D12" xr:uid="{9B48F54D-5C51-4031-A16E-1183F817B82F}"/>
  </dataValidations>
  <hyperlinks>
    <hyperlink ref="L3" location="DATOS!A94" display="Ayuda" xr:uid="{DE6F4D24-6B5D-459C-BED1-BDC94576EAD9}"/>
    <hyperlink ref="M110" location="DATOS!A1" display="VOLVER" xr:uid="{8D66270E-AB13-4B19-83DB-AE8F8DE8C29D}"/>
    <hyperlink ref="M88" location="DATOS!A1" display="VOLVER" xr:uid="{BC0D2F9C-662E-4B01-984C-6C1AB6F05718}"/>
    <hyperlink ref="J21:K21" location="DATOS!R56" display="IR A PROBLEMA DEL CANILLITA" xr:uid="{4F5F3D4F-D808-43A9-ADFD-716F747383D5}"/>
    <hyperlink ref="T29" location="DATOS!A1" display="Volver" xr:uid="{13D2AE01-C737-435C-AEA7-1D14C92B2F2C}"/>
    <hyperlink ref="J23:K23" location="DATOS!AF56" display="IR A DESCUENTO POR CANTIDAD" xr:uid="{DA4123AD-BC89-4246-B4B1-890848037022}"/>
    <hyperlink ref="H44" location="DATOS!A1" display="VOLVER" xr:uid="{1CB1D120-0768-4053-B606-6A9130D43A78}"/>
    <hyperlink ref="J44" location="DATOS!A164" display="Ayuda" xr:uid="{F725B450-44BF-494B-8718-F5F59EA71E6B}"/>
    <hyperlink ref="B161:E161" location="DATOS!G27" display="Volver al problema del canillita" xr:uid="{F1CC6398-C58A-4251-A9F1-C40D289C0024}"/>
    <hyperlink ref="B163:E163" location="DATOS!A1" display="Volver a pantalla principal" xr:uid="{7C0312BB-6050-4169-AFF4-35AEB8FD844F}"/>
  </hyperlinks>
  <pageMargins left="0.7" right="0.7" top="0.75" bottom="0.75" header="0.3" footer="0.3"/>
  <pageSetup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4</xdr:col>
                    <xdr:colOff>180975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23</xdr:col>
                    <xdr:colOff>0</xdr:colOff>
                    <xdr:row>33</xdr:row>
                    <xdr:rowOff>152400</xdr:rowOff>
                  </from>
                  <to>
                    <xdr:col>24</xdr:col>
                    <xdr:colOff>600075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23</xdr:col>
                    <xdr:colOff>9525</xdr:colOff>
                    <xdr:row>35</xdr:row>
                    <xdr:rowOff>28575</xdr:rowOff>
                  </from>
                  <to>
                    <xdr:col>25</xdr:col>
                    <xdr:colOff>295275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Drop Down 6">
              <controlPr defaultSize="0" autoLine="0" autoPict="0">
                <anchor moveWithCells="1">
                  <from>
                    <xdr:col>25</xdr:col>
                    <xdr:colOff>581025</xdr:colOff>
                    <xdr:row>28</xdr:row>
                    <xdr:rowOff>161925</xdr:rowOff>
                  </from>
                  <to>
                    <xdr:col>27</xdr:col>
                    <xdr:colOff>180975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 Roberti</cp:lastModifiedBy>
  <dcterms:created xsi:type="dcterms:W3CDTF">2015-11-19T12:35:36Z</dcterms:created>
  <dcterms:modified xsi:type="dcterms:W3CDTF">2026-03-14T20:50:32Z</dcterms:modified>
</cp:coreProperties>
</file>